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egieniusz\Grupa Polsat Plus\[PROJ] MD&amp;A - Dokumenty\2Q 2024\"/>
    </mc:Choice>
  </mc:AlternateContent>
  <bookViews>
    <workbookView xWindow="11860" yWindow="-160" windowWidth="11200" windowHeight="9350"/>
  </bookViews>
  <sheets>
    <sheet name="P&amp;L" sheetId="1" r:id="rId1"/>
    <sheet name="Balance sheet" sheetId="3" r:id="rId2"/>
    <sheet name="Cash Flow" sheetId="4" r:id="rId3"/>
    <sheet name="Segments" sheetId="2"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sheet'!$A$1:$R$85</definedName>
    <definedName name="_xlnm.Print_Area" localSheetId="2">'Cash Flow'!$A$2:$R$82</definedName>
    <definedName name="_xlnm.Print_Area" localSheetId="9">'KPI_segment B2C&amp;B2B'!$A$1:$T$38</definedName>
    <definedName name="_xlnm.Print_Area" localSheetId="5">'new KPI_segment B2C&amp;B2B'!$A$1:$B$31</definedName>
    <definedName name="_xlnm.Print_Area" localSheetId="0">'P&amp;L'!$A$4:$T$51</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sheet'!$A$1:$R$85</definedName>
    <definedName name="Z_0581D693_F741_454A_848A_FCD54BC91A66_.wvu.PrintArea" localSheetId="2" hidden="1">'Cash Flow'!$A$2:$R$82</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'P&amp;L'!$A$4:$T$51</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sheet'!$A$1:$R$85</definedName>
    <definedName name="Z_634BFE77_A2AA_4FA6_8ED5_F02244B9F10C_.wvu.PrintArea" localSheetId="2" hidden="1">'Cash Flow'!$A$2:$R$82</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'P&amp;L'!$A$4:$T$51</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sheet'!$A$1:$R$85</definedName>
    <definedName name="Z_B87BD74C_18F3_4393_BF03_31B25889E08F_.wvu.PrintArea" localSheetId="2" hidden="1">'Cash Flow'!$A$2:$R$82</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'P&amp;L'!$A$4:$T$51</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sheet'!$A$1:$R$85</definedName>
    <definedName name="Z_ED9E521F_BC9B_4E88_8A9F_5288A046401B_.wvu.PrintArea" localSheetId="2" hidden="1">'Cash Flow'!$A$2:$R$82</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'P&amp;L'!$A$4:$T$51</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5" i="15" l="1"/>
  <c r="BD6" i="4"/>
  <c r="BD36" i="4" s="1"/>
  <c r="BW36" i="1"/>
  <c r="BZ8" i="7" l="1"/>
  <c r="BZ7" i="7"/>
  <c r="BZ5" i="7"/>
  <c r="BZ4" i="7"/>
  <c r="BW42" i="1" l="1"/>
  <c r="AZ76" i="3" l="1"/>
  <c r="AZ79" i="3" s="1"/>
  <c r="AZ80" i="3" s="1"/>
  <c r="AZ63" i="3"/>
  <c r="AZ52" i="3"/>
  <c r="AZ54" i="3" s="1"/>
  <c r="AZ37" i="3"/>
  <c r="AZ24" i="3"/>
  <c r="AZ40" i="3" l="1"/>
  <c r="BZ9" i="7" l="1"/>
  <c r="BZ6" i="7"/>
  <c r="BD72" i="4"/>
  <c r="BD57" i="4"/>
  <c r="BD39" i="4" l="1"/>
  <c r="BD73" i="4" l="1"/>
  <c r="BW11" i="1" l="1"/>
  <c r="BW5" i="1"/>
  <c r="BW25" i="1" l="1"/>
  <c r="BW30" i="1"/>
  <c r="BW32" i="1" s="1"/>
  <c r="BW37" i="1" l="1"/>
  <c r="BW40" i="1"/>
  <c r="AB16" i="9"/>
  <c r="AB6" i="9"/>
  <c r="BW43" i="1" l="1"/>
  <c r="BW41" i="1"/>
  <c r="BC72" i="4" l="1"/>
  <c r="BC57" i="4"/>
  <c r="BC6" i="4"/>
  <c r="BC36" i="4" l="1"/>
  <c r="BC39" i="4" l="1"/>
  <c r="BC73" i="4" l="1"/>
  <c r="BZ36" i="2" l="1"/>
  <c r="BZ35" i="2"/>
  <c r="BZ34" i="2"/>
  <c r="BW32" i="2"/>
  <c r="BY32" i="2"/>
  <c r="BV32" i="2"/>
  <c r="BZ31" i="2"/>
  <c r="BZ30" i="2"/>
  <c r="BZ29" i="2"/>
  <c r="BZ28" i="2"/>
  <c r="BZ27" i="2"/>
  <c r="BY26" i="2"/>
  <c r="BX26" i="2"/>
  <c r="BW26" i="2"/>
  <c r="BV26" i="2"/>
  <c r="BZ25" i="2"/>
  <c r="BZ24" i="2"/>
  <c r="BZ23" i="2"/>
  <c r="BZ22" i="2"/>
  <c r="BZ21" i="2"/>
  <c r="BY20" i="2"/>
  <c r="BX20" i="2"/>
  <c r="BW20" i="2"/>
  <c r="BV20" i="2"/>
  <c r="BZ19" i="2"/>
  <c r="BZ18" i="2"/>
  <c r="BZ17" i="2"/>
  <c r="BZ16" i="2"/>
  <c r="BZ15" i="2"/>
  <c r="BZ14" i="2"/>
  <c r="BZ13" i="2"/>
  <c r="BZ12" i="2"/>
  <c r="BY11" i="2"/>
  <c r="BX11" i="2"/>
  <c r="BV11" i="2"/>
  <c r="BZ10" i="2"/>
  <c r="BZ9" i="2"/>
  <c r="BZ8" i="2"/>
  <c r="BZ7" i="2"/>
  <c r="BW5" i="2"/>
  <c r="BY5" i="2"/>
  <c r="BX5" i="2"/>
  <c r="BV5" i="2"/>
  <c r="BV37" i="2" l="1"/>
  <c r="BY37" i="2"/>
  <c r="BZ11" i="2"/>
  <c r="BZ26" i="2"/>
  <c r="BW37" i="2"/>
  <c r="BZ20" i="2"/>
  <c r="BZ6" i="2"/>
  <c r="BZ5" i="2" s="1"/>
  <c r="BW11" i="2"/>
  <c r="BX32" i="2"/>
  <c r="BX37" i="2" s="1"/>
  <c r="BZ33" i="2"/>
  <c r="BZ32" i="2" s="1"/>
  <c r="BZ37" i="2" l="1"/>
  <c r="AY76" i="3" l="1"/>
  <c r="AY63" i="3"/>
  <c r="AY52" i="3"/>
  <c r="AY37" i="3"/>
  <c r="AY24" i="3"/>
  <c r="BV11" i="1"/>
  <c r="BZ17" i="1"/>
  <c r="BZ39" i="1"/>
  <c r="BZ38" i="1"/>
  <c r="BZ35" i="1"/>
  <c r="BZ34" i="1"/>
  <c r="BZ33" i="1"/>
  <c r="BZ31" i="1"/>
  <c r="BZ29" i="1"/>
  <c r="BZ28" i="1"/>
  <c r="BZ27" i="1"/>
  <c r="BZ26" i="1"/>
  <c r="BZ24" i="1"/>
  <c r="BZ23" i="1"/>
  <c r="BZ22" i="1"/>
  <c r="BZ21" i="1"/>
  <c r="BZ20" i="1"/>
  <c r="BZ19" i="1"/>
  <c r="BZ18" i="1"/>
  <c r="BZ16" i="1"/>
  <c r="BZ15" i="1"/>
  <c r="BZ14" i="1"/>
  <c r="BZ13" i="1"/>
  <c r="BZ12" i="1"/>
  <c r="BZ10" i="1"/>
  <c r="BZ9" i="1"/>
  <c r="BZ8" i="1"/>
  <c r="BZ7" i="1"/>
  <c r="BZ6" i="1"/>
  <c r="BV5" i="1"/>
  <c r="BY8" i="7" l="1"/>
  <c r="AY54" i="3"/>
  <c r="AY79" i="3"/>
  <c r="AY40" i="3"/>
  <c r="BV25" i="1"/>
  <c r="BZ11" i="1"/>
  <c r="BZ5" i="1"/>
  <c r="AY80" i="3" l="1"/>
  <c r="BY9" i="7"/>
  <c r="BZ25" i="1"/>
  <c r="BV30" i="1"/>
  <c r="BV36" i="1"/>
  <c r="BO34" i="13"/>
  <c r="BO33" i="13"/>
  <c r="BO32" i="13"/>
  <c r="BO31" i="13"/>
  <c r="BO30" i="13"/>
  <c r="BK28" i="13"/>
  <c r="BO25" i="13"/>
  <c r="BO24" i="13"/>
  <c r="BO23" i="13"/>
  <c r="BO22" i="13"/>
  <c r="BO21" i="13"/>
  <c r="BK19" i="13"/>
  <c r="BN13" i="13"/>
  <c r="BM13" i="13"/>
  <c r="BL13" i="13"/>
  <c r="BK13" i="13"/>
  <c r="BO12" i="13"/>
  <c r="BO11" i="13"/>
  <c r="BO9" i="13"/>
  <c r="BO8" i="13"/>
  <c r="BO7" i="13"/>
  <c r="BO6" i="13"/>
  <c r="BO5" i="13"/>
  <c r="BZ30" i="1" l="1"/>
  <c r="BZ32" i="1"/>
  <c r="BO13" i="13"/>
  <c r="BV40" i="1"/>
  <c r="BV32" i="1"/>
  <c r="BZ36" i="1"/>
  <c r="BV37" i="1"/>
  <c r="BZ40" i="1"/>
  <c r="M4" i="15"/>
  <c r="Q8" i="15" s="1"/>
  <c r="BZ37" i="1" l="1"/>
  <c r="BZ41" i="1"/>
  <c r="BY4" i="7"/>
  <c r="BY7" i="7"/>
  <c r="BY5" i="7"/>
  <c r="BY6" i="7"/>
  <c r="BV42" i="1"/>
  <c r="BV41" i="1"/>
  <c r="Q7" i="15"/>
  <c r="Q6" i="15"/>
  <c r="AA16" i="9"/>
  <c r="AA6" i="9"/>
  <c r="Q4" i="15" l="1"/>
  <c r="BV43" i="1"/>
  <c r="BZ42" i="1"/>
  <c r="BZ43" i="1" l="1"/>
  <c r="BU35" i="1"/>
  <c r="BU18" i="1" l="1"/>
  <c r="BU23" i="1"/>
  <c r="BT32" i="2" l="1"/>
  <c r="BB57" i="4" l="1"/>
  <c r="BB6" i="4" l="1"/>
  <c r="AX37" i="3" l="1"/>
  <c r="BT11" i="1" l="1"/>
  <c r="BT5" i="1"/>
  <c r="BT25" i="1" l="1"/>
  <c r="AX24" i="3"/>
  <c r="BT30" i="1" l="1"/>
  <c r="BT36" i="1"/>
  <c r="BT40" i="1" s="1"/>
  <c r="BQ13" i="2"/>
  <c r="BR13" i="2"/>
  <c r="BQ14" i="2"/>
  <c r="BR14" i="2"/>
  <c r="BQ15" i="2"/>
  <c r="BR15" i="2"/>
  <c r="BQ16" i="2"/>
  <c r="BR16" i="2"/>
  <c r="BR12" i="2"/>
  <c r="BQ12" i="2"/>
  <c r="BU15" i="2" l="1"/>
  <c r="BT32" i="1"/>
  <c r="BW5" i="7"/>
  <c r="BT37" i="1"/>
  <c r="BW4" i="7" s="1"/>
  <c r="AQ24" i="3"/>
  <c r="AR24" i="3"/>
  <c r="AS24" i="3"/>
  <c r="AT24" i="3"/>
  <c r="AW24" i="3"/>
  <c r="AW37" i="3"/>
  <c r="AR37" i="3"/>
  <c r="AT37" i="3"/>
  <c r="AS37" i="3"/>
  <c r="BT41" i="1" l="1"/>
  <c r="AS40" i="3"/>
  <c r="AT40" i="3"/>
  <c r="BU33" i="1" l="1"/>
  <c r="BU34" i="1"/>
  <c r="BU29" i="1"/>
  <c r="BU28" i="1"/>
  <c r="BU27" i="1"/>
  <c r="BU26" i="1"/>
  <c r="BU24" i="1"/>
  <c r="BU17" i="1"/>
  <c r="BS11" i="1"/>
  <c r="BU19" i="1"/>
  <c r="BU20" i="1"/>
  <c r="BU21" i="1"/>
  <c r="BU22" i="1"/>
  <c r="BU16" i="1"/>
  <c r="BU15" i="1"/>
  <c r="BU14" i="1"/>
  <c r="BU13" i="1"/>
  <c r="BU12" i="1"/>
  <c r="BU6" i="1"/>
  <c r="BU7" i="1"/>
  <c r="BU8" i="1"/>
  <c r="BU9" i="1"/>
  <c r="BU10" i="1"/>
  <c r="BU39" i="1"/>
  <c r="BU38" i="1"/>
  <c r="BU31" i="1"/>
  <c r="BQ5" i="1"/>
  <c r="BR5" i="1"/>
  <c r="BS5" i="1"/>
  <c r="BQ11" i="1"/>
  <c r="BR11" i="1"/>
  <c r="BQ25" i="1" l="1"/>
  <c r="BS25" i="1"/>
  <c r="BS36" i="1" s="1"/>
  <c r="BS40" i="1" s="1"/>
  <c r="BR25" i="1"/>
  <c r="BU5" i="1"/>
  <c r="BU11" i="1"/>
  <c r="BQ36" i="1" l="1"/>
  <c r="BS30" i="1"/>
  <c r="BR30" i="1"/>
  <c r="BR32" i="1" s="1"/>
  <c r="BU5" i="7" s="1"/>
  <c r="BS32" i="1"/>
  <c r="BS37" i="1"/>
  <c r="BR36" i="1"/>
  <c r="BR40" i="1" s="1"/>
  <c r="BU25" i="1"/>
  <c r="BU36" i="1" s="1"/>
  <c r="BQ30" i="1"/>
  <c r="BS41" i="1"/>
  <c r="G7" i="15"/>
  <c r="L7" i="15"/>
  <c r="L6" i="15"/>
  <c r="G6" i="15"/>
  <c r="L5" i="15"/>
  <c r="K4" i="15"/>
  <c r="J4" i="15"/>
  <c r="H4" i="15"/>
  <c r="C4" i="15"/>
  <c r="BQ40" i="1" l="1"/>
  <c r="BU30" i="1"/>
  <c r="BU32" i="1" s="1"/>
  <c r="BV4" i="7"/>
  <c r="BR37" i="1"/>
  <c r="BU4" i="7" s="1"/>
  <c r="BV5" i="7"/>
  <c r="BQ32" i="1"/>
  <c r="BQ37" i="1"/>
  <c r="BR41" i="1"/>
  <c r="I4" i="15"/>
  <c r="D4" i="15"/>
  <c r="L4" i="15"/>
  <c r="BT4" i="7" l="1"/>
  <c r="BT5" i="7"/>
  <c r="BU40" i="1"/>
  <c r="BX5" i="7"/>
  <c r="BU41" i="1"/>
  <c r="BU37" i="1"/>
  <c r="BQ41" i="1"/>
  <c r="E4" i="15"/>
  <c r="BX4" i="7" l="1"/>
  <c r="F4" i="15"/>
  <c r="G5" i="15"/>
  <c r="G4" i="15" s="1"/>
  <c r="BA6" i="4" l="1"/>
  <c r="BA36" i="4" s="1"/>
  <c r="BQ32" i="2" l="1"/>
  <c r="BU36" i="2"/>
  <c r="BU30" i="2"/>
  <c r="BU24" i="2"/>
  <c r="BU9" i="2"/>
  <c r="AW76" i="3" l="1"/>
  <c r="BV8" i="7" s="1"/>
  <c r="AW63" i="3" l="1"/>
  <c r="AW79" i="3" l="1"/>
  <c r="AW52" i="3"/>
  <c r="AW54" i="3" l="1"/>
  <c r="BV7" i="7" s="1"/>
  <c r="BR6" i="2" l="1"/>
  <c r="BR35" i="2" l="1"/>
  <c r="BR34" i="2"/>
  <c r="BR33" i="2"/>
  <c r="BS33" i="2" l="1"/>
  <c r="BR32" i="2"/>
  <c r="AV6" i="4"/>
  <c r="BS32" i="2" l="1"/>
  <c r="BR10" i="2"/>
  <c r="BR8" i="2"/>
  <c r="BR7" i="2"/>
  <c r="AZ57" i="4"/>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BJ12" i="13"/>
  <c r="BE12" i="13"/>
  <c r="AZ12" i="13"/>
  <c r="BJ11" i="13"/>
  <c r="BE11" i="13"/>
  <c r="AZ11" i="13"/>
  <c r="AU11" i="13"/>
  <c r="AU13" i="13" s="1"/>
  <c r="BJ9" i="13"/>
  <c r="BJ8" i="13"/>
  <c r="BJ7" i="13"/>
  <c r="BJ6" i="13"/>
  <c r="BJ5" i="13"/>
  <c r="AZ13" i="13" l="1"/>
  <c r="BE13" i="13"/>
  <c r="BJ13" i="13"/>
  <c r="BR20" i="2" l="1"/>
  <c r="BS20" i="2"/>
  <c r="BT20" i="2"/>
  <c r="BQ20" i="2"/>
  <c r="BR26" i="2"/>
  <c r="BS26" i="2"/>
  <c r="BT26" i="2"/>
  <c r="BQ26" i="2"/>
  <c r="AY57" i="4" l="1"/>
  <c r="AY6" i="4" l="1"/>
  <c r="BB36" i="4" l="1"/>
  <c r="BB39" i="4" s="1"/>
  <c r="AZ6" i="4"/>
  <c r="AZ36" i="4" s="1"/>
  <c r="AY3" i="4"/>
  <c r="BC3" i="4" s="1"/>
  <c r="BB72" i="4"/>
  <c r="BA72" i="4"/>
  <c r="AZ72" i="4"/>
  <c r="AY72" i="4"/>
  <c r="BA57" i="4"/>
  <c r="BA39" i="4" l="1"/>
  <c r="AZ39" i="4"/>
  <c r="BB73" i="4"/>
  <c r="BB77" i="4" s="1"/>
  <c r="BC74" i="4" l="1"/>
  <c r="BC77" i="4" s="1"/>
  <c r="BD74" i="4"/>
  <c r="BA73" i="4"/>
  <c r="AZ73" i="4"/>
  <c r="AU63" i="3"/>
  <c r="BD77" i="4" l="1"/>
  <c r="AX76" i="3"/>
  <c r="AV76" i="3"/>
  <c r="AX63" i="3"/>
  <c r="AV63" i="3"/>
  <c r="AX52" i="3"/>
  <c r="AV52" i="3"/>
  <c r="AV37" i="3"/>
  <c r="BU8" i="7" s="1"/>
  <c r="AV24" i="3"/>
  <c r="BU31" i="2"/>
  <c r="BU23" i="2"/>
  <c r="BU22" i="2"/>
  <c r="BU19" i="2"/>
  <c r="BU18" i="2"/>
  <c r="BU17" i="2"/>
  <c r="BU16" i="2"/>
  <c r="BU14" i="2"/>
  <c r="BQ11" i="2"/>
  <c r="BU10" i="2"/>
  <c r="BU7" i="2"/>
  <c r="BQ5" i="2"/>
  <c r="BX8" i="7" l="1"/>
  <c r="BW8" i="7"/>
  <c r="AX79" i="3"/>
  <c r="AX54" i="3"/>
  <c r="AW40" i="3"/>
  <c r="AV54" i="3"/>
  <c r="BU7" i="7" s="1"/>
  <c r="BQ37" i="2"/>
  <c r="AV79" i="3"/>
  <c r="AX40" i="3"/>
  <c r="AV40" i="3"/>
  <c r="BU6" i="7" s="1"/>
  <c r="BS5" i="2"/>
  <c r="BS37" i="2" s="1"/>
  <c r="BT5" i="2"/>
  <c r="BU12" i="2"/>
  <c r="BU13" i="2"/>
  <c r="BU11" i="2" s="1"/>
  <c r="BS11" i="2"/>
  <c r="BU34" i="2"/>
  <c r="BU35" i="2"/>
  <c r="BU27" i="2"/>
  <c r="BR11" i="2"/>
  <c r="BU8" i="2"/>
  <c r="BU6" i="2"/>
  <c r="BR5" i="2"/>
  <c r="BR37" i="2" s="1"/>
  <c r="BU25" i="2"/>
  <c r="BU29" i="2"/>
  <c r="BW7" i="7" l="1"/>
  <c r="BX7" i="7"/>
  <c r="BX6" i="7"/>
  <c r="BX9" i="7"/>
  <c r="BW9" i="7"/>
  <c r="BW6" i="7"/>
  <c r="BU9" i="7"/>
  <c r="AX80" i="3"/>
  <c r="BV6" i="7"/>
  <c r="BV9" i="7"/>
  <c r="AW80" i="3"/>
  <c r="AY5" i="4"/>
  <c r="AV80" i="3"/>
  <c r="BU5" i="2"/>
  <c r="BT37" i="2"/>
  <c r="BU33" i="2"/>
  <c r="BU32" i="2" s="1"/>
  <c r="BT11" i="2"/>
  <c r="BU28" i="2"/>
  <c r="BU26" i="2" s="1"/>
  <c r="AY36" i="4" l="1"/>
  <c r="BU37" i="2"/>
  <c r="BU21" i="2"/>
  <c r="BU20" i="2" s="1"/>
  <c r="AY39" i="4" l="1"/>
  <c r="AU37" i="3"/>
  <c r="AU52" i="3"/>
  <c r="AU24" i="3"/>
  <c r="AU76" i="3"/>
  <c r="BT8" i="7" l="1"/>
  <c r="AY73" i="4"/>
  <c r="AU54" i="3"/>
  <c r="BT7" i="7" s="1"/>
  <c r="AU40" i="3"/>
  <c r="BT6" i="7" s="1"/>
  <c r="AU79" i="3"/>
  <c r="BT9" i="7" s="1"/>
  <c r="AU80" i="3" l="1"/>
  <c r="Z16" i="9"/>
  <c r="Y16" i="9"/>
  <c r="X16" i="9"/>
  <c r="Z6" i="9"/>
  <c r="Y6" i="9"/>
  <c r="X6" i="9"/>
  <c r="W16" i="9" l="1"/>
  <c r="W6" i="9"/>
  <c r="K28" i="3" l="1"/>
  <c r="J28" i="3"/>
  <c r="I28" i="3"/>
  <c r="H28" i="3"/>
  <c r="G28" i="3"/>
  <c r="F28" i="3"/>
  <c r="E28" i="3"/>
  <c r="D28" i="3"/>
  <c r="C28" i="3"/>
  <c r="BO29" i="1" l="1"/>
  <c r="BP29" i="1" s="1"/>
  <c r="BO33" i="1" l="1"/>
  <c r="BP33" i="1" s="1"/>
  <c r="BO24" i="1"/>
  <c r="BO34" i="1" l="1"/>
  <c r="BP34" i="1" s="1"/>
  <c r="BO31" i="1"/>
  <c r="BO26" i="1"/>
  <c r="AP76" i="3" l="1"/>
  <c r="V6" i="9" l="1"/>
  <c r="BO19" i="1" l="1"/>
  <c r="BO7" i="1"/>
  <c r="BO27" i="1" l="1"/>
  <c r="BO23" i="1"/>
  <c r="BO21" i="1"/>
  <c r="BO20" i="1"/>
  <c r="BO16" i="1"/>
  <c r="BO15" i="1"/>
  <c r="BO14" i="1"/>
  <c r="BO13" i="1"/>
  <c r="BO10" i="1"/>
  <c r="BO8" i="1"/>
  <c r="BO6" i="1"/>
  <c r="BN29" i="2" l="1"/>
  <c r="BO29" i="2" s="1"/>
  <c r="BN5" i="1" l="1"/>
  <c r="BN35" i="2" l="1"/>
  <c r="BO35" i="2" s="1"/>
  <c r="BN31" i="2"/>
  <c r="BO31" i="2" s="1"/>
  <c r="BN25" i="2"/>
  <c r="BO25" i="2" s="1"/>
  <c r="BN23" i="2"/>
  <c r="BO23" i="2" s="1"/>
  <c r="BM21" i="2"/>
  <c r="BN21" i="2" s="1"/>
  <c r="BL20" i="2"/>
  <c r="BN16" i="2"/>
  <c r="BO16" i="2" s="1"/>
  <c r="BN14" i="2"/>
  <c r="BO14" i="2" s="1"/>
  <c r="BN8" i="2"/>
  <c r="BO8" i="2" s="1"/>
  <c r="BO21" i="2" l="1"/>
  <c r="AS52" i="3" l="1"/>
  <c r="BM27" i="2" l="1"/>
  <c r="BN27" i="2" s="1"/>
  <c r="BM12" i="2"/>
  <c r="BN12" i="2" s="1"/>
  <c r="BO12" i="2" s="1"/>
  <c r="BO27" i="2" l="1"/>
  <c r="BP35" i="2"/>
  <c r="BM33" i="2"/>
  <c r="BN33" i="2" s="1"/>
  <c r="BO33" i="2" s="1"/>
  <c r="BM6" i="2" l="1"/>
  <c r="BN6" i="2" s="1"/>
  <c r="BO6" i="2" s="1"/>
  <c r="BM7" i="2"/>
  <c r="BN7" i="2" s="1"/>
  <c r="BO7" i="2" s="1"/>
  <c r="BM34" i="2" l="1"/>
  <c r="BN34" i="2" s="1"/>
  <c r="BO34" i="2" s="1"/>
  <c r="BL11" i="2"/>
  <c r="BP16" i="2"/>
  <c r="BP25" i="2"/>
  <c r="BP23" i="2"/>
  <c r="BP29" i="2"/>
  <c r="BP31" i="2"/>
  <c r="BM28" i="2"/>
  <c r="BM22" i="2"/>
  <c r="BM13" i="2"/>
  <c r="BP14" i="2"/>
  <c r="BP8" i="2"/>
  <c r="BM10" i="2"/>
  <c r="BO32" i="2"/>
  <c r="BN32" i="2"/>
  <c r="BL32" i="2"/>
  <c r="BL26" i="2"/>
  <c r="BL5" i="2"/>
  <c r="BM5" i="2" l="1"/>
  <c r="BN10" i="2"/>
  <c r="BO10" i="2" s="1"/>
  <c r="BM11" i="2"/>
  <c r="BN13" i="2"/>
  <c r="BM20" i="2"/>
  <c r="BN22" i="2"/>
  <c r="BM26" i="2"/>
  <c r="BN28" i="2"/>
  <c r="BN26" i="2" s="1"/>
  <c r="BM32" i="2"/>
  <c r="BM37" i="2" s="1"/>
  <c r="BO22" i="2" l="1"/>
  <c r="BO20" i="2" s="1"/>
  <c r="BN20" i="2"/>
  <c r="BN11" i="2"/>
  <c r="BO13" i="2"/>
  <c r="BO11" i="2" s="1"/>
  <c r="BO28" i="2"/>
  <c r="BO26" i="2" s="1"/>
  <c r="BP39" i="1"/>
  <c r="AR76" i="3" l="1"/>
  <c r="AR52" i="3" l="1"/>
  <c r="BM12" i="1"/>
  <c r="BO12" i="1" l="1"/>
  <c r="BP19" i="2"/>
  <c r="AQ52" i="3" l="1"/>
  <c r="AX72" i="4" l="1"/>
  <c r="AW72" i="4"/>
  <c r="AV72" i="4"/>
  <c r="AU72" i="4"/>
  <c r="AX57" i="4"/>
  <c r="AW57" i="4"/>
  <c r="AV57" i="4"/>
  <c r="AU57" i="4"/>
  <c r="AX6" i="4"/>
  <c r="AW6" i="4"/>
  <c r="AU6" i="4"/>
  <c r="BP34" i="2"/>
  <c r="BP28" i="2"/>
  <c r="BP27" i="2"/>
  <c r="BP22" i="2"/>
  <c r="BP21" i="2"/>
  <c r="BP18" i="2"/>
  <c r="BP17" i="2"/>
  <c r="BP13" i="2"/>
  <c r="BP12" i="2"/>
  <c r="BP11" i="2" s="1"/>
  <c r="BP10" i="2"/>
  <c r="BP7" i="2"/>
  <c r="BP6" i="2"/>
  <c r="BO5" i="2"/>
  <c r="BO37" i="2" s="1"/>
  <c r="BN5" i="2"/>
  <c r="BN37" i="2" s="1"/>
  <c r="AT76" i="3"/>
  <c r="AS76" i="3"/>
  <c r="AQ76" i="3"/>
  <c r="AT63" i="3"/>
  <c r="AS63" i="3"/>
  <c r="AR63" i="3"/>
  <c r="AQ63" i="3"/>
  <c r="AT52" i="3"/>
  <c r="AS54" i="3"/>
  <c r="AR54" i="3"/>
  <c r="AQ54" i="3"/>
  <c r="AQ37" i="3"/>
  <c r="BP31" i="1"/>
  <c r="BP27" i="1"/>
  <c r="BP26" i="1"/>
  <c r="BP24" i="1"/>
  <c r="BP21" i="1"/>
  <c r="BP19" i="1"/>
  <c r="BP16" i="1"/>
  <c r="BP15" i="1"/>
  <c r="BP14" i="1"/>
  <c r="BP13" i="1"/>
  <c r="BP12" i="1"/>
  <c r="BP10" i="1"/>
  <c r="BP8" i="1"/>
  <c r="BP7" i="1"/>
  <c r="BP38" i="1"/>
  <c r="BP28" i="1"/>
  <c r="BP23" i="1"/>
  <c r="BP20" i="1"/>
  <c r="BO11" i="1"/>
  <c r="BN11" i="1"/>
  <c r="BM11" i="1"/>
  <c r="BO5" i="1"/>
  <c r="BM5" i="1"/>
  <c r="BP11" i="1" l="1"/>
  <c r="BS8" i="7"/>
  <c r="BO25" i="1"/>
  <c r="BQ8" i="7"/>
  <c r="BR8" i="7"/>
  <c r="AT54" i="3"/>
  <c r="BP20" i="2"/>
  <c r="BO8" i="7"/>
  <c r="BP8" i="7"/>
  <c r="BP26" i="2"/>
  <c r="BP5" i="2"/>
  <c r="AR79" i="3"/>
  <c r="AR40" i="3"/>
  <c r="BM25" i="1"/>
  <c r="BL37" i="2"/>
  <c r="AQ40" i="3"/>
  <c r="BP33" i="2"/>
  <c r="BP32" i="2" s="1"/>
  <c r="AQ79" i="3"/>
  <c r="AS79" i="3"/>
  <c r="AT79" i="3"/>
  <c r="BL11" i="1"/>
  <c r="BL5" i="1"/>
  <c r="AT80" i="3" l="1"/>
  <c r="BS9" i="7"/>
  <c r="BR9" i="7"/>
  <c r="BP37" i="2"/>
  <c r="BO36" i="1"/>
  <c r="AS80" i="3"/>
  <c r="BQ9" i="7"/>
  <c r="BO9" i="7"/>
  <c r="BM36" i="1"/>
  <c r="AR80" i="3"/>
  <c r="BP9" i="7"/>
  <c r="BO30" i="1"/>
  <c r="BM30" i="1"/>
  <c r="AQ80" i="3"/>
  <c r="BL25" i="1"/>
  <c r="V16" i="9"/>
  <c r="T16" i="9"/>
  <c r="T6" i="9"/>
  <c r="BL36" i="1" l="1"/>
  <c r="BO37" i="1"/>
  <c r="BR4" i="7" s="1"/>
  <c r="BM40" i="1"/>
  <c r="BO40" i="1"/>
  <c r="BO32" i="1"/>
  <c r="BM32" i="1"/>
  <c r="BM35" i="1" s="1"/>
  <c r="BM37" i="1"/>
  <c r="BL37" i="1"/>
  <c r="BL30" i="1"/>
  <c r="S16" i="9"/>
  <c r="S6" i="9"/>
  <c r="BO4" i="7" l="1"/>
  <c r="BL40" i="1"/>
  <c r="BP5" i="7"/>
  <c r="BR6" i="7"/>
  <c r="BR5" i="7"/>
  <c r="BR7" i="7"/>
  <c r="BO41" i="1"/>
  <c r="BP7" i="7"/>
  <c r="BP6" i="7"/>
  <c r="BM41" i="1"/>
  <c r="BP4" i="7"/>
  <c r="BL32" i="1"/>
  <c r="BL35" i="1" s="1"/>
  <c r="BL41" i="1" l="1"/>
  <c r="AU5" i="4"/>
  <c r="AV5" i="4"/>
  <c r="AV36" i="4" s="1"/>
  <c r="BO7" i="7"/>
  <c r="BO6" i="7"/>
  <c r="BO5" i="7"/>
  <c r="AT6" i="4"/>
  <c r="BJ33" i="2" l="1"/>
  <c r="BK33" i="1" l="1"/>
  <c r="BJ34" i="2" l="1"/>
  <c r="BJ32" i="2" s="1"/>
  <c r="BJ28" i="2"/>
  <c r="BJ27" i="2"/>
  <c r="BJ22" i="2"/>
  <c r="BJ21" i="2"/>
  <c r="BJ18" i="2"/>
  <c r="BJ13" i="2"/>
  <c r="BJ12" i="2"/>
  <c r="BJ7" i="2"/>
  <c r="BJ6" i="2"/>
  <c r="BJ10" i="2"/>
  <c r="BI11" i="2"/>
  <c r="BJ11" i="2" l="1"/>
  <c r="BJ5" i="2"/>
  <c r="BK26" i="1" l="1"/>
  <c r="AP24" i="3" l="1"/>
  <c r="BK24" i="1" l="1"/>
  <c r="AP52"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I4" i="9"/>
  <c r="M4" i="9" s="1"/>
  <c r="Q4" i="9" s="1"/>
  <c r="U4" i="9" s="1"/>
  <c r="Y4" i="9" s="1"/>
  <c r="AC4" i="9" s="1"/>
  <c r="H4" i="9"/>
  <c r="L4" i="9" s="1"/>
  <c r="P4" i="9" s="1"/>
  <c r="T4" i="9" s="1"/>
  <c r="X4" i="9" s="1"/>
  <c r="AB4" i="9" s="1"/>
  <c r="G4" i="9"/>
  <c r="K4" i="9" s="1"/>
  <c r="O4" i="9" s="1"/>
  <c r="S4" i="9" s="1"/>
  <c r="W4" i="9" s="1"/>
  <c r="AA4" i="9" s="1"/>
  <c r="AP54" i="3" l="1"/>
  <c r="BG11" i="2"/>
  <c r="BH11" i="2" l="1"/>
  <c r="BK17" i="2" l="1"/>
  <c r="BF17" i="2"/>
  <c r="AZ25" i="5" l="1"/>
  <c r="AZ17" i="5"/>
  <c r="AZ16" i="5"/>
  <c r="AZ15" i="5"/>
  <c r="AZ12" i="5"/>
  <c r="AZ27" i="5"/>
  <c r="AZ26" i="5"/>
  <c r="AZ8" i="5"/>
  <c r="AZ11" i="5"/>
  <c r="AZ10" i="5"/>
  <c r="AZ9" i="5"/>
  <c r="AZ7" i="5" l="1"/>
  <c r="AZ24" i="5"/>
  <c r="AZ29" i="5"/>
  <c r="BK23" i="1" l="1"/>
  <c r="BC11" i="1" l="1"/>
  <c r="BG11" i="1"/>
  <c r="BH11" i="1"/>
  <c r="AN37" i="3" l="1"/>
  <c r="AM37" i="3" l="1"/>
  <c r="BG20" i="2" l="1"/>
  <c r="BH5" i="2"/>
  <c r="BI5" i="2"/>
  <c r="BG5" i="2"/>
  <c r="AM52" i="3" l="1"/>
  <c r="AV7" i="5" l="1"/>
  <c r="AY29" i="5" l="1"/>
  <c r="AX29" i="5"/>
  <c r="AW29" i="5"/>
  <c r="AV29" i="5"/>
  <c r="AY24" i="5"/>
  <c r="AX24" i="5"/>
  <c r="AV24" i="5"/>
  <c r="AY17" i="5"/>
  <c r="AX17" i="5"/>
  <c r="AW17" i="5"/>
  <c r="AV17" i="5"/>
  <c r="AY7" i="5"/>
  <c r="AX7" i="5"/>
  <c r="AW7" i="5"/>
  <c r="AS72" i="4"/>
  <c r="AS57" i="4"/>
  <c r="AT72" i="4"/>
  <c r="AR72" i="4"/>
  <c r="AQ72" i="4"/>
  <c r="AT57" i="4"/>
  <c r="AR57" i="4"/>
  <c r="AQ57" i="4"/>
  <c r="AS6" i="4"/>
  <c r="AR6" i="4"/>
  <c r="AQ6" i="4"/>
  <c r="AO76" i="3"/>
  <c r="AN76" i="3"/>
  <c r="AM76" i="3"/>
  <c r="AP63" i="3"/>
  <c r="AO63" i="3"/>
  <c r="AN63" i="3"/>
  <c r="AM63" i="3"/>
  <c r="AO52" i="3"/>
  <c r="AO54" i="3" s="1"/>
  <c r="AN52" i="3"/>
  <c r="AN54" i="3" s="1"/>
  <c r="AM54" i="3"/>
  <c r="AP37" i="3"/>
  <c r="AO37" i="3"/>
  <c r="AO24" i="3"/>
  <c r="AN24" i="3"/>
  <c r="AM24" i="3"/>
  <c r="BK38" i="1"/>
  <c r="BK34" i="1"/>
  <c r="BK31" i="1"/>
  <c r="BK29" i="1"/>
  <c r="BK28" i="1"/>
  <c r="BK27" i="1"/>
  <c r="BK21" i="1"/>
  <c r="BK20" i="1"/>
  <c r="BK19" i="1"/>
  <c r="BK16" i="1"/>
  <c r="BK15" i="1"/>
  <c r="BK14" i="1"/>
  <c r="BK13" i="1"/>
  <c r="BK12" i="1"/>
  <c r="BJ11" i="1"/>
  <c r="BI11" i="1"/>
  <c r="BK10" i="1"/>
  <c r="BK8" i="1"/>
  <c r="BK7" i="1"/>
  <c r="BK6" i="1"/>
  <c r="BJ5" i="1"/>
  <c r="BI5" i="1"/>
  <c r="BH5" i="1"/>
  <c r="BH25" i="1" s="1"/>
  <c r="BH30" i="1" s="1"/>
  <c r="BG5" i="1"/>
  <c r="BK34" i="2"/>
  <c r="BK33" i="2"/>
  <c r="BJ37" i="2"/>
  <c r="BI32" i="2"/>
  <c r="BI37" i="2" s="1"/>
  <c r="BH32" i="2"/>
  <c r="BH37" i="2" s="1"/>
  <c r="BG32" i="2"/>
  <c r="BG37" i="2" s="1"/>
  <c r="BK28" i="2"/>
  <c r="BK27" i="2"/>
  <c r="BJ26" i="2"/>
  <c r="BI26" i="2"/>
  <c r="BH26" i="2"/>
  <c r="BG26" i="2"/>
  <c r="BK22" i="2"/>
  <c r="BK21" i="2"/>
  <c r="BJ20" i="2"/>
  <c r="BI20" i="2"/>
  <c r="BH20" i="2"/>
  <c r="BK18" i="2"/>
  <c r="BK13" i="2"/>
  <c r="BK12" i="2"/>
  <c r="BK10" i="2"/>
  <c r="BK7" i="2"/>
  <c r="BK6" i="2"/>
  <c r="BJ8" i="7" l="1"/>
  <c r="AM40" i="3"/>
  <c r="BK8" i="7"/>
  <c r="AN40" i="3"/>
  <c r="BI25" i="1"/>
  <c r="BI36" i="1" s="1"/>
  <c r="BJ25" i="1"/>
  <c r="BN8" i="7"/>
  <c r="BM8" i="7"/>
  <c r="BK11" i="2"/>
  <c r="BL8" i="7"/>
  <c r="AN79" i="3"/>
  <c r="AM79" i="3"/>
  <c r="AO79" i="3"/>
  <c r="AO80" i="3" s="1"/>
  <c r="AP79" i="3"/>
  <c r="AO40" i="3"/>
  <c r="AP40" i="3"/>
  <c r="AX5" i="5"/>
  <c r="BK20" i="2"/>
  <c r="BG25" i="1"/>
  <c r="BG36" i="1" s="1"/>
  <c r="BK5" i="1"/>
  <c r="BK32" i="2"/>
  <c r="AY5" i="5"/>
  <c r="AV5" i="5"/>
  <c r="BK11" i="1"/>
  <c r="BH32" i="1"/>
  <c r="BH36" i="1"/>
  <c r="BK26" i="2"/>
  <c r="BK5" i="2"/>
  <c r="AM32" i="2"/>
  <c r="BG40" i="1" l="1"/>
  <c r="BG41" i="1" s="1"/>
  <c r="BI40" i="1"/>
  <c r="BI41" i="1" s="1"/>
  <c r="BJ36" i="1"/>
  <c r="BI30" i="1"/>
  <c r="BI32" i="1" s="1"/>
  <c r="BL5" i="7" s="1"/>
  <c r="BH37" i="1"/>
  <c r="BK4" i="7" s="1"/>
  <c r="BH40" i="1"/>
  <c r="BH41" i="1" s="1"/>
  <c r="AP80" i="3"/>
  <c r="BN9" i="7"/>
  <c r="BM9" i="7"/>
  <c r="BK25" i="1"/>
  <c r="AN80" i="3"/>
  <c r="BK9" i="7"/>
  <c r="AM80" i="3"/>
  <c r="BJ9" i="7"/>
  <c r="BL9" i="7"/>
  <c r="BH35" i="1"/>
  <c r="BK7" i="7"/>
  <c r="BK6" i="7"/>
  <c r="BK5" i="7"/>
  <c r="BK37" i="2"/>
  <c r="BG37" i="1"/>
  <c r="BJ4" i="7" s="1"/>
  <c r="BG30" i="1"/>
  <c r="BG32" i="1" s="1"/>
  <c r="BJ30" i="1"/>
  <c r="BJ37" i="1" l="1"/>
  <c r="BM4" i="7" s="1"/>
  <c r="BJ40" i="1"/>
  <c r="BJ41" i="1" s="1"/>
  <c r="BJ32" i="1"/>
  <c r="BM5" i="7" s="1"/>
  <c r="BL6" i="7"/>
  <c r="BI35" i="1"/>
  <c r="BL7" i="7"/>
  <c r="BJ5" i="7"/>
  <c r="BJ6" i="7"/>
  <c r="BJ7" i="7"/>
  <c r="BK30" i="1"/>
  <c r="BI37" i="1"/>
  <c r="BL4" i="7" s="1"/>
  <c r="BG35" i="1"/>
  <c r="AQ5" i="4"/>
  <c r="BK36" i="1"/>
  <c r="AV37" i="2"/>
  <c r="AU37" i="2"/>
  <c r="AT37" i="2"/>
  <c r="AS37" i="2"/>
  <c r="AR37" i="2"/>
  <c r="BF34" i="2"/>
  <c r="BA34" i="2"/>
  <c r="AQ34" i="2"/>
  <c r="BF33" i="2"/>
  <c r="BA33" i="2"/>
  <c r="AQ33" i="2"/>
  <c r="BE32" i="2"/>
  <c r="BD32" i="2"/>
  <c r="BC32" i="2"/>
  <c r="BB32" i="2"/>
  <c r="AZ32" i="2"/>
  <c r="AY32" i="2"/>
  <c r="AX32" i="2"/>
  <c r="AW32" i="2"/>
  <c r="AP32" i="2"/>
  <c r="AO32" i="2"/>
  <c r="AN32" i="2"/>
  <c r="BF28" i="2"/>
  <c r="BA28" i="2"/>
  <c r="AQ28" i="2"/>
  <c r="BF27" i="2"/>
  <c r="BA27" i="2"/>
  <c r="AQ27" i="2"/>
  <c r="BE26" i="2"/>
  <c r="BD26" i="2"/>
  <c r="BC26" i="2"/>
  <c r="BB26" i="2"/>
  <c r="AZ26" i="2"/>
  <c r="AY26" i="2"/>
  <c r="AX26" i="2"/>
  <c r="AW26" i="2"/>
  <c r="AV26" i="2"/>
  <c r="AU26" i="2"/>
  <c r="AT26" i="2"/>
  <c r="AS26" i="2"/>
  <c r="AR26" i="2"/>
  <c r="AP26" i="2"/>
  <c r="AO26" i="2"/>
  <c r="AN26" i="2"/>
  <c r="AM26" i="2"/>
  <c r="BF22" i="2"/>
  <c r="BA22" i="2"/>
  <c r="AQ22" i="2"/>
  <c r="BF21" i="2"/>
  <c r="BA21" i="2"/>
  <c r="AQ21" i="2"/>
  <c r="BE20" i="2"/>
  <c r="BD20" i="2"/>
  <c r="BC20" i="2"/>
  <c r="BB20" i="2"/>
  <c r="BB11" i="2" s="1"/>
  <c r="AZ20" i="2"/>
  <c r="AY20" i="2"/>
  <c r="AX20" i="2"/>
  <c r="AW20" i="2"/>
  <c r="AP20" i="2"/>
  <c r="AO20" i="2"/>
  <c r="AN20" i="2"/>
  <c r="AM20" i="2"/>
  <c r="BF13" i="2"/>
  <c r="BF12" i="2"/>
  <c r="BE11" i="2"/>
  <c r="BD11" i="2"/>
  <c r="BC11" i="2"/>
  <c r="BF10" i="2"/>
  <c r="BA10" i="2"/>
  <c r="AQ10" i="2"/>
  <c r="BF7" i="2"/>
  <c r="BA7" i="2"/>
  <c r="AQ7" i="2"/>
  <c r="BF6" i="2"/>
  <c r="BA6" i="2"/>
  <c r="AQ6" i="2"/>
  <c r="BD5" i="2"/>
  <c r="BC5" i="2"/>
  <c r="BB5" i="2"/>
  <c r="AZ5" i="2"/>
  <c r="AY5" i="2"/>
  <c r="AX5" i="2"/>
  <c r="AW5" i="2"/>
  <c r="AP5" i="2"/>
  <c r="AO5" i="2"/>
  <c r="AN5" i="2"/>
  <c r="AM5" i="2"/>
  <c r="BK40" i="1" l="1"/>
  <c r="BK41" i="1" s="1"/>
  <c r="BM6" i="7"/>
  <c r="BK32" i="1"/>
  <c r="BM7" i="7"/>
  <c r="BJ35" i="1"/>
  <c r="AQ36" i="4"/>
  <c r="AQ39" i="4" s="1"/>
  <c r="AR5" i="4"/>
  <c r="AQ26" i="2"/>
  <c r="BA5" i="2"/>
  <c r="BK37" i="1"/>
  <c r="BA26" i="2"/>
  <c r="AP37" i="2"/>
  <c r="BA20" i="2"/>
  <c r="BF20" i="2"/>
  <c r="BF32" i="2"/>
  <c r="BD37" i="2"/>
  <c r="AX37" i="2"/>
  <c r="AQ5" i="2"/>
  <c r="BB37" i="2"/>
  <c r="BF11" i="2"/>
  <c r="AY37" i="2"/>
  <c r="BF26" i="2"/>
  <c r="AZ37" i="2"/>
  <c r="AW37" i="2"/>
  <c r="BF5" i="2"/>
  <c r="AQ32" i="2"/>
  <c r="AN37" i="2"/>
  <c r="BC37" i="2"/>
  <c r="AQ20" i="2"/>
  <c r="AO37" i="2"/>
  <c r="BE5" i="2"/>
  <c r="BE37" i="2" s="1"/>
  <c r="AM37" i="2"/>
  <c r="BA32" i="2"/>
  <c r="BN7" i="7" l="1"/>
  <c r="BK35" i="1"/>
  <c r="BN5" i="7"/>
  <c r="AT5" i="4"/>
  <c r="AT36" i="4" s="1"/>
  <c r="BN6" i="7"/>
  <c r="BN4" i="7"/>
  <c r="AS5" i="4"/>
  <c r="AS36" i="4" s="1"/>
  <c r="AS39" i="4" s="1"/>
  <c r="AQ73" i="4"/>
  <c r="AR36" i="4"/>
  <c r="BA37" i="2"/>
  <c r="AQ37" i="2"/>
  <c r="BF37" i="2"/>
  <c r="AR39" i="4" l="1"/>
  <c r="AT39" i="4"/>
  <c r="AS73" i="4"/>
  <c r="AL76" i="3"/>
  <c r="AR73" i="4" l="1"/>
  <c r="AT73" i="4"/>
  <c r="AL37" i="3"/>
  <c r="BF29" i="1"/>
  <c r="BF26" i="1"/>
  <c r="BE11"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33" i="1"/>
  <c r="AU5" i="5" l="1"/>
  <c r="V5" i="5"/>
  <c r="AA5" i="5"/>
  <c r="AF5" i="5"/>
  <c r="L5" i="5"/>
  <c r="AN63" i="4"/>
  <c r="BF38" i="1" l="1"/>
  <c r="BF27" i="1" l="1"/>
  <c r="AN6" i="4"/>
  <c r="AN36" i="4" s="1"/>
  <c r="AN39" i="4" s="1"/>
  <c r="AO6" i="4"/>
  <c r="AO36" i="4" s="1"/>
  <c r="AP6" i="4"/>
  <c r="AP36" i="4" s="1"/>
  <c r="AP39" i="4" s="1"/>
  <c r="AN57" i="4"/>
  <c r="AP57" i="4"/>
  <c r="AN72" i="4"/>
  <c r="AP72" i="4"/>
  <c r="AM72" i="4"/>
  <c r="AM57" i="4"/>
  <c r="AM6" i="4"/>
  <c r="AK76" i="3"/>
  <c r="AJ76" i="3"/>
  <c r="AI76" i="3"/>
  <c r="AL63" i="3"/>
  <c r="AK63" i="3"/>
  <c r="AJ63" i="3"/>
  <c r="AI63" i="3"/>
  <c r="AL52" i="3"/>
  <c r="AK52" i="3"/>
  <c r="AK54" i="3" s="1"/>
  <c r="AJ52" i="3"/>
  <c r="AJ54" i="3" s="1"/>
  <c r="AI52" i="3"/>
  <c r="AI54" i="3" s="1"/>
  <c r="AK37" i="3"/>
  <c r="AJ37" i="3"/>
  <c r="AI37" i="3"/>
  <c r="AL24" i="3"/>
  <c r="AK24" i="3"/>
  <c r="AJ24" i="3"/>
  <c r="AI24" i="3"/>
  <c r="BF34" i="1"/>
  <c r="BF31" i="1"/>
  <c r="BF28" i="1"/>
  <c r="BF24" i="1"/>
  <c r="BF21" i="1"/>
  <c r="BF20" i="1"/>
  <c r="BF19" i="1"/>
  <c r="BF16" i="1"/>
  <c r="BF15" i="1"/>
  <c r="BF14" i="1"/>
  <c r="BF13" i="1"/>
  <c r="BF12" i="1"/>
  <c r="BD11" i="1"/>
  <c r="BB11" i="1"/>
  <c r="BF10" i="1"/>
  <c r="BF8" i="1"/>
  <c r="BF7" i="1"/>
  <c r="BF6" i="1"/>
  <c r="BE5" i="1"/>
  <c r="BD5" i="1"/>
  <c r="BC5" i="1"/>
  <c r="BB5" i="1"/>
  <c r="AL54" i="3" l="1"/>
  <c r="AL40" i="3"/>
  <c r="BE25" i="1"/>
  <c r="BE30" i="1" s="1"/>
  <c r="BE32" i="1" s="1"/>
  <c r="BE35" i="1" s="1"/>
  <c r="AK40" i="3"/>
  <c r="BD25" i="1"/>
  <c r="BD30" i="1" s="1"/>
  <c r="BD32" i="1" s="1"/>
  <c r="BD35" i="1" s="1"/>
  <c r="AK79" i="3"/>
  <c r="AK80" i="3" s="1"/>
  <c r="AJ79" i="3"/>
  <c r="AJ80" i="3" s="1"/>
  <c r="BC25" i="1"/>
  <c r="BC36" i="1" s="1"/>
  <c r="BF5" i="1"/>
  <c r="AP73" i="4"/>
  <c r="AO77" i="4"/>
  <c r="AN73" i="4"/>
  <c r="AN77" i="4" s="1"/>
  <c r="AI40" i="3"/>
  <c r="AJ40" i="3"/>
  <c r="AL79" i="3"/>
  <c r="AI79" i="3"/>
  <c r="AI80" i="3" s="1"/>
  <c r="BF11" i="1"/>
  <c r="BB25" i="1"/>
  <c r="BB30" i="1" s="1"/>
  <c r="BB32" i="1" s="1"/>
  <c r="BB35" i="1" s="1"/>
  <c r="AL72" i="4"/>
  <c r="AZ5" i="1"/>
  <c r="AZ11" i="1"/>
  <c r="AU11" i="1"/>
  <c r="AU5" i="1"/>
  <c r="AL80" i="3" l="1"/>
  <c r="AP77" i="4"/>
  <c r="BC37" i="1"/>
  <c r="BC40" i="1"/>
  <c r="BC41" i="1" s="1"/>
  <c r="BE36" i="1"/>
  <c r="BD36" i="1"/>
  <c r="BC30" i="1"/>
  <c r="BC32" i="1" s="1"/>
  <c r="BC35" i="1" s="1"/>
  <c r="AM5" i="4"/>
  <c r="AM36" i="4" s="1"/>
  <c r="AM39" i="4" s="1"/>
  <c r="BF25" i="1"/>
  <c r="BF30" i="1" s="1"/>
  <c r="BB36" i="1"/>
  <c r="AU25" i="1"/>
  <c r="AU36" i="1" s="1"/>
  <c r="AU37" i="1" s="1"/>
  <c r="AZ25" i="1"/>
  <c r="AZ30" i="1" s="1"/>
  <c r="AZ32" i="1" s="1"/>
  <c r="BE40" i="1" l="1"/>
  <c r="BB37" i="1"/>
  <c r="BF32" i="1"/>
  <c r="AQ74" i="4"/>
  <c r="AQ77" i="4" s="1"/>
  <c r="AT74" i="4"/>
  <c r="AT77" i="4" s="1"/>
  <c r="AS74" i="4"/>
  <c r="AS77" i="4" s="1"/>
  <c r="AR74" i="4"/>
  <c r="AR77" i="4" s="1"/>
  <c r="AM73" i="4"/>
  <c r="BE37" i="1"/>
  <c r="BE41" i="1"/>
  <c r="BD37" i="1"/>
  <c r="BD40" i="1"/>
  <c r="BD41" i="1" s="1"/>
  <c r="BF36" i="1"/>
  <c r="AU30" i="1"/>
  <c r="AU32" i="1" s="1"/>
  <c r="AZ36" i="1"/>
  <c r="AZ37" i="1" l="1"/>
  <c r="BF35" i="1"/>
  <c r="AV74" i="4"/>
  <c r="AW74" i="4"/>
  <c r="AX74" i="4"/>
  <c r="AU74" i="4"/>
  <c r="BF37" i="1"/>
  <c r="BF40" i="1"/>
  <c r="BF41" i="1" s="1"/>
  <c r="AG49" i="4"/>
  <c r="AY11" i="1"/>
  <c r="AY5" i="1"/>
  <c r="AT11" i="1"/>
  <c r="AT5" i="1"/>
  <c r="AY25" i="1" l="1"/>
  <c r="AY30" i="1" s="1"/>
  <c r="AY32" i="1" s="1"/>
  <c r="AT25" i="1"/>
  <c r="AT30" i="1" s="1"/>
  <c r="AT32" i="1" s="1"/>
  <c r="AJ72" i="4"/>
  <c r="AJ57" i="4"/>
  <c r="AJ6" i="4"/>
  <c r="AJ36" i="4" s="1"/>
  <c r="AJ39" i="4" s="1"/>
  <c r="AF72" i="4"/>
  <c r="AF57" i="4"/>
  <c r="AF6" i="4"/>
  <c r="AF36" i="4" s="1"/>
  <c r="AF39" i="4" s="1"/>
  <c r="AT36" i="1" l="1"/>
  <c r="AT37" i="1" s="1"/>
  <c r="AY36" i="1"/>
  <c r="AJ73" i="4"/>
  <c r="AF73" i="4"/>
  <c r="AY37" i="1" l="1"/>
  <c r="AX11" i="1"/>
  <c r="AX5" i="1"/>
  <c r="AX25" i="1" l="1"/>
  <c r="AX30" i="1" s="1"/>
  <c r="AX32" i="1" s="1"/>
  <c r="AS11" i="1"/>
  <c r="AS5" i="1"/>
  <c r="AX36" i="1" l="1"/>
  <c r="AS25" i="1"/>
  <c r="AS30" i="1" s="1"/>
  <c r="AS32" i="1" s="1"/>
  <c r="AK72" i="4"/>
  <c r="AI72" i="4"/>
  <c r="AL57" i="4"/>
  <c r="AK57" i="4"/>
  <c r="AI57" i="4"/>
  <c r="AL6" i="4"/>
  <c r="AL36" i="4" s="1"/>
  <c r="AL39" i="4" s="1"/>
  <c r="AK6" i="4"/>
  <c r="AK36" i="4" s="1"/>
  <c r="AK39" i="4" s="1"/>
  <c r="AI6" i="4"/>
  <c r="AI36" i="4" s="1"/>
  <c r="AI39" i="4" s="1"/>
  <c r="AX37" i="1" l="1"/>
  <c r="AL73" i="4"/>
  <c r="AK73" i="4"/>
  <c r="AS36" i="1"/>
  <c r="AS37" i="1" s="1"/>
  <c r="AI73" i="4"/>
  <c r="AI77" i="4" s="1"/>
  <c r="AW11" i="1"/>
  <c r="AE24" i="3" l="1"/>
  <c r="AC24" i="3"/>
  <c r="Z24" i="3"/>
  <c r="AA24" i="3"/>
  <c r="AR11" i="1" l="1"/>
  <c r="AQ31" i="1"/>
  <c r="AE63" i="3"/>
  <c r="AE52" i="3"/>
  <c r="AD52" i="3"/>
  <c r="AE37" i="3"/>
  <c r="AC37" i="3"/>
  <c r="AD37" i="3"/>
  <c r="AD24" i="3"/>
  <c r="AE57" i="4" l="1"/>
  <c r="AG72" i="4"/>
  <c r="AE6" i="4"/>
  <c r="AG57" i="4"/>
  <c r="AH57" i="4"/>
  <c r="AE72" i="4"/>
  <c r="AH72" i="4"/>
  <c r="AG6" i="4"/>
  <c r="AG36" i="4" s="1"/>
  <c r="AG39" i="4" s="1"/>
  <c r="AH6" i="4"/>
  <c r="AH36" i="4" s="1"/>
  <c r="AH39" i="4" s="1"/>
  <c r="AD6" i="4"/>
  <c r="AH73" i="4" l="1"/>
  <c r="AG73" i="4"/>
  <c r="AE36" i="4"/>
  <c r="AE39" i="4" l="1"/>
  <c r="AE73" i="4" l="1"/>
  <c r="AE77" i="4" l="1"/>
  <c r="AH76" i="3" l="1"/>
  <c r="AG76" i="3"/>
  <c r="AF76" i="3"/>
  <c r="AE76" i="3"/>
  <c r="AH63" i="3"/>
  <c r="AG63" i="3"/>
  <c r="AF63" i="3"/>
  <c r="AH52" i="3"/>
  <c r="AH54" i="3" s="1"/>
  <c r="AG52" i="3"/>
  <c r="AG54" i="3" s="1"/>
  <c r="AF52" i="3"/>
  <c r="AF54" i="3" s="1"/>
  <c r="AE54" i="3"/>
  <c r="AH37" i="3"/>
  <c r="AG37" i="3"/>
  <c r="AF37" i="3"/>
  <c r="AH24" i="3"/>
  <c r="AG24" i="3"/>
  <c r="AF24" i="3"/>
  <c r="BA34" i="1"/>
  <c r="BA33" i="1"/>
  <c r="BA31" i="1"/>
  <c r="BA29" i="1"/>
  <c r="BA28" i="1"/>
  <c r="BA27" i="1"/>
  <c r="BA26" i="1"/>
  <c r="BA24" i="1"/>
  <c r="BA21" i="1"/>
  <c r="BA20" i="1"/>
  <c r="BA19" i="1"/>
  <c r="BA16" i="1"/>
  <c r="BA15" i="1"/>
  <c r="BA14" i="1"/>
  <c r="BA13" i="1"/>
  <c r="BA12" i="1"/>
  <c r="BA10" i="1"/>
  <c r="BA8" i="1"/>
  <c r="BA7" i="1"/>
  <c r="BA6" i="1"/>
  <c r="AW5" i="1"/>
  <c r="AW25" i="1" s="1"/>
  <c r="AW30" i="1" s="1"/>
  <c r="AV31" i="1"/>
  <c r="AV29" i="1"/>
  <c r="AV28" i="1"/>
  <c r="AV27" i="1"/>
  <c r="AV26" i="1"/>
  <c r="AV24" i="1"/>
  <c r="AV21" i="1"/>
  <c r="AV20" i="1"/>
  <c r="AV19" i="1"/>
  <c r="AV16" i="1"/>
  <c r="AV15" i="1"/>
  <c r="AV14" i="1"/>
  <c r="AV13" i="1"/>
  <c r="AV12" i="1"/>
  <c r="AV10" i="1"/>
  <c r="AV8" i="1"/>
  <c r="AV7" i="1"/>
  <c r="AV6" i="1"/>
  <c r="AR5" i="1"/>
  <c r="AR25" i="1" s="1"/>
  <c r="AR30" i="1" s="1"/>
  <c r="BA11" i="1" l="1"/>
  <c r="AR32" i="1"/>
  <c r="AW32" i="1"/>
  <c r="AW35" i="1" s="1"/>
  <c r="BA5" i="1"/>
  <c r="AE79" i="3"/>
  <c r="AE80" i="3" s="1"/>
  <c r="AF79" i="3"/>
  <c r="AF80" i="3" s="1"/>
  <c r="AG79" i="3"/>
  <c r="AG80" i="3" s="1"/>
  <c r="AH79" i="3"/>
  <c r="AH80" i="3" s="1"/>
  <c r="AE40" i="3"/>
  <c r="AF40" i="3"/>
  <c r="AG40" i="3"/>
  <c r="AH40" i="3"/>
  <c r="AV5" i="1"/>
  <c r="AV11" i="1"/>
  <c r="BA25" i="1" l="1"/>
  <c r="AW36" i="1"/>
  <c r="AV25" i="1"/>
  <c r="AV30" i="1" s="1"/>
  <c r="AV32" i="1" s="1"/>
  <c r="AR36" i="1"/>
  <c r="AD76" i="3"/>
  <c r="AW37" i="1" l="1"/>
  <c r="BA30" i="1"/>
  <c r="BA36" i="1"/>
  <c r="BA37" i="1" s="1"/>
  <c r="AV36" i="1"/>
  <c r="AV37" i="1" s="1"/>
  <c r="AR37" i="1"/>
  <c r="AD49" i="4"/>
  <c r="BA32" i="1" l="1"/>
  <c r="AC49" i="4"/>
  <c r="BA35" i="1" l="1"/>
  <c r="AC39" i="4"/>
  <c r="AC57" i="4"/>
  <c r="AC72" i="4"/>
  <c r="AC76" i="3"/>
  <c r="AO11" i="1"/>
  <c r="AO5" i="1"/>
  <c r="AI11" i="1"/>
  <c r="AI5" i="1"/>
  <c r="AI25" i="1" l="1"/>
  <c r="AI36" i="1" s="1"/>
  <c r="AI37" i="1" s="1"/>
  <c r="AO25" i="1"/>
  <c r="AC73" i="4"/>
  <c r="AI30" i="1" l="1"/>
  <c r="AI32" i="1" s="1"/>
  <c r="AI35" i="1" s="1"/>
  <c r="AO36" i="1"/>
  <c r="AO30" i="1"/>
  <c r="AH10" i="1"/>
  <c r="AO32" i="1" l="1"/>
  <c r="AO37" i="1"/>
  <c r="AK28" i="1"/>
  <c r="AB49" i="4" l="1"/>
  <c r="AB76" i="3"/>
  <c r="AB37" i="3"/>
  <c r="AB24" i="3"/>
  <c r="AQ28" i="1" l="1"/>
  <c r="AA37" i="3" l="1"/>
  <c r="AD72" i="4" l="1"/>
  <c r="AB72" i="4"/>
  <c r="AA72" i="4"/>
  <c r="AD57" i="4"/>
  <c r="AB57" i="4"/>
  <c r="AA57" i="4"/>
  <c r="AB6" i="4"/>
  <c r="AA6" i="4"/>
  <c r="AA36" i="4" s="1"/>
  <c r="AA39" i="4" s="1"/>
  <c r="AA76" i="3"/>
  <c r="AD63" i="3"/>
  <c r="AC63" i="3"/>
  <c r="AB63" i="3"/>
  <c r="AA63" i="3"/>
  <c r="AD54" i="3"/>
  <c r="AC52" i="3"/>
  <c r="AB52" i="3"/>
  <c r="AB54" i="3" s="1"/>
  <c r="AA52" i="3"/>
  <c r="AA54" i="3" s="1"/>
  <c r="AB40" i="3"/>
  <c r="AC54" i="3" l="1"/>
  <c r="AC40" i="3"/>
  <c r="AA73" i="4"/>
  <c r="AA40" i="3"/>
  <c r="AD79" i="3"/>
  <c r="AD80" i="3" s="1"/>
  <c r="AD40" i="3"/>
  <c r="AA79" i="3"/>
  <c r="AA80" i="3" s="1"/>
  <c r="AB79" i="3"/>
  <c r="AB80" i="3" s="1"/>
  <c r="AC79" i="3"/>
  <c r="AC80" i="3" l="1"/>
  <c r="AK34" i="1"/>
  <c r="AK33" i="1"/>
  <c r="AK29" i="1"/>
  <c r="AK27" i="1"/>
  <c r="AK26" i="1"/>
  <c r="AK24" i="1"/>
  <c r="AK21" i="1"/>
  <c r="AK20" i="1"/>
  <c r="AK19" i="1"/>
  <c r="AK16" i="1"/>
  <c r="AK15" i="1"/>
  <c r="AK14" i="1"/>
  <c r="AK13" i="1"/>
  <c r="AK12" i="1"/>
  <c r="AJ11" i="1"/>
  <c r="AH11" i="1"/>
  <c r="AG11" i="1"/>
  <c r="AK10" i="1"/>
  <c r="AK8" i="1"/>
  <c r="AK7" i="1"/>
  <c r="AK6" i="1"/>
  <c r="AJ5" i="1"/>
  <c r="AH5" i="1"/>
  <c r="AG5" i="1"/>
  <c r="AQ34" i="1"/>
  <c r="AQ33" i="1"/>
  <c r="AQ29" i="1"/>
  <c r="AQ27" i="1"/>
  <c r="AQ26" i="1"/>
  <c r="AQ24" i="1"/>
  <c r="AQ21" i="1"/>
  <c r="AQ20" i="1"/>
  <c r="AQ19" i="1"/>
  <c r="AQ16" i="1"/>
  <c r="AQ15" i="1"/>
  <c r="AQ14" i="1"/>
  <c r="AQ13" i="1"/>
  <c r="AQ12" i="1"/>
  <c r="AP11" i="1"/>
  <c r="AN11" i="1"/>
  <c r="AM11" i="1"/>
  <c r="AQ10" i="1"/>
  <c r="AQ8" i="1"/>
  <c r="AQ7" i="1"/>
  <c r="AQ6" i="1"/>
  <c r="AP5" i="1"/>
  <c r="AN5" i="1"/>
  <c r="AM5" i="1"/>
  <c r="AG25" i="1" l="1"/>
  <c r="AG36" i="1" s="1"/>
  <c r="AP25" i="1"/>
  <c r="AJ25" i="1"/>
  <c r="AJ30" i="1" s="1"/>
  <c r="AN25" i="1"/>
  <c r="AQ11" i="1"/>
  <c r="AH25" i="1"/>
  <c r="AH36" i="1" s="1"/>
  <c r="AH37" i="1" s="1"/>
  <c r="AK11" i="1"/>
  <c r="AK5" i="1"/>
  <c r="AQ5" i="1"/>
  <c r="AM25" i="1"/>
  <c r="AG30" i="1" l="1"/>
  <c r="AG32" i="1" s="1"/>
  <c r="AG35" i="1" s="1"/>
  <c r="AN36" i="1"/>
  <c r="AN30" i="1"/>
  <c r="AN32" i="1" s="1"/>
  <c r="AN35" i="1" s="1"/>
  <c r="AP36" i="1"/>
  <c r="AP30" i="1"/>
  <c r="AP32" i="1" s="1"/>
  <c r="AG37" i="1"/>
  <c r="AJ36" i="1"/>
  <c r="AJ37" i="1" s="1"/>
  <c r="AQ25" i="1"/>
  <c r="AQ30" i="1" s="1"/>
  <c r="AH30" i="1"/>
  <c r="AH32" i="1" s="1"/>
  <c r="AH35" i="1" s="1"/>
  <c r="AK25" i="1"/>
  <c r="AK36" i="1" s="1"/>
  <c r="AK37" i="1" s="1"/>
  <c r="AM36" i="1"/>
  <c r="AM30" i="1"/>
  <c r="AP37" i="1" l="1"/>
  <c r="AN37" i="1"/>
  <c r="AQ32" i="1"/>
  <c r="AM32" i="1"/>
  <c r="AM37" i="1"/>
  <c r="AB36" i="4"/>
  <c r="AB39" i="4" s="1"/>
  <c r="AQ36" i="1"/>
  <c r="AK30" i="1"/>
  <c r="AF29" i="1"/>
  <c r="AQ35" i="1" l="1"/>
  <c r="AB73" i="4"/>
  <c r="AM35" i="1"/>
  <c r="AQ37" i="1"/>
  <c r="AF28" i="1"/>
  <c r="AA28" i="1"/>
  <c r="Q28" i="1"/>
  <c r="L28" i="1"/>
  <c r="G28" i="1"/>
  <c r="AD11" i="1" l="1"/>
  <c r="Z6" i="4" l="1"/>
  <c r="Z36" i="4" s="1"/>
  <c r="Z39" i="4" s="1"/>
  <c r="Z72" i="4"/>
  <c r="Z57" i="4"/>
  <c r="Z37" i="3"/>
  <c r="Z76" i="3"/>
  <c r="Z63" i="3"/>
  <c r="Z52" i="3"/>
  <c r="Z54" i="3" s="1"/>
  <c r="AF34" i="1"/>
  <c r="AF33" i="1"/>
  <c r="AF31" i="1"/>
  <c r="AF27" i="1"/>
  <c r="AF26" i="1"/>
  <c r="AF24" i="1"/>
  <c r="AF21" i="1"/>
  <c r="AF20" i="1"/>
  <c r="AF19" i="1"/>
  <c r="AF16" i="1"/>
  <c r="AF15" i="1"/>
  <c r="AF14" i="1"/>
  <c r="AF13" i="1"/>
  <c r="AF12" i="1"/>
  <c r="AF7" i="1"/>
  <c r="AF8" i="1"/>
  <c r="AF10" i="1"/>
  <c r="AF6" i="1"/>
  <c r="AE5" i="1"/>
  <c r="AE11" i="1"/>
  <c r="Z73" i="4" l="1"/>
  <c r="Z79" i="3"/>
  <c r="Z80" i="3" s="1"/>
  <c r="Z40" i="3"/>
  <c r="AF11" i="1"/>
  <c r="AE25" i="1"/>
  <c r="AE30" i="1" s="1"/>
  <c r="AF5" i="1"/>
  <c r="Y72" i="4"/>
  <c r="Y57" i="4"/>
  <c r="Y6" i="4"/>
  <c r="Y36" i="4" s="1"/>
  <c r="Y39" i="4" s="1"/>
  <c r="Y76" i="3"/>
  <c r="Y63" i="3"/>
  <c r="Y52" i="3"/>
  <c r="Y54" i="3" s="1"/>
  <c r="Y37" i="3"/>
  <c r="Y24" i="3"/>
  <c r="AD5" i="1"/>
  <c r="Y40" i="3" l="1"/>
  <c r="AE36" i="1"/>
  <c r="AE37" i="1" s="1"/>
  <c r="AE32" i="1"/>
  <c r="AE35" i="1" s="1"/>
  <c r="Y73" i="4"/>
  <c r="Y79" i="3"/>
  <c r="Y80" i="3" s="1"/>
  <c r="AF25" i="1"/>
  <c r="AF30" i="1" s="1"/>
  <c r="AD25" i="1"/>
  <c r="AD30" i="1" s="1"/>
  <c r="AF32" i="1" l="1"/>
  <c r="AD32" i="1"/>
  <c r="AD35" i="1" s="1"/>
  <c r="AD36" i="1"/>
  <c r="AD37" i="1" s="1"/>
  <c r="AF36" i="1"/>
  <c r="AF37" i="1" s="1"/>
  <c r="AF35" i="1" l="1"/>
  <c r="X72" i="4"/>
  <c r="X57" i="4"/>
  <c r="X6" i="4"/>
  <c r="X76" i="3"/>
  <c r="X63" i="3"/>
  <c r="X52" i="3"/>
  <c r="X54" i="3" s="1"/>
  <c r="X37" i="3"/>
  <c r="X24" i="3"/>
  <c r="AC11" i="1"/>
  <c r="AC5" i="1"/>
  <c r="AC25" i="1" l="1"/>
  <c r="AC30" i="1" s="1"/>
  <c r="AC32" i="1" s="1"/>
  <c r="AC35" i="1" s="1"/>
  <c r="X40" i="3"/>
  <c r="X79" i="3"/>
  <c r="X80" i="3" s="1"/>
  <c r="AC36" i="1" l="1"/>
  <c r="AC37" i="1" s="1"/>
  <c r="W69" i="4"/>
  <c r="Z11" i="1" l="1"/>
  <c r="Y11" i="1"/>
  <c r="X11" i="1"/>
  <c r="W11" i="1"/>
  <c r="V11" i="1"/>
  <c r="U11" i="1"/>
  <c r="T11" i="1"/>
  <c r="S11" i="1"/>
  <c r="R11" i="1"/>
  <c r="P11" i="1"/>
  <c r="O11" i="1"/>
  <c r="N11" i="1"/>
  <c r="M11" i="1"/>
  <c r="K11" i="1"/>
  <c r="J11" i="1"/>
  <c r="I11" i="1"/>
  <c r="H11" i="1"/>
  <c r="F11" i="1"/>
  <c r="E11" i="1"/>
  <c r="D11" i="1"/>
  <c r="C11" i="1"/>
  <c r="AB11" i="1"/>
  <c r="AA12" i="1"/>
  <c r="W72" i="4"/>
  <c r="W57" i="4"/>
  <c r="W6" i="4"/>
  <c r="W76" i="3"/>
  <c r="W63" i="3"/>
  <c r="W52" i="3"/>
  <c r="W54" i="3" s="1"/>
  <c r="W37" i="3"/>
  <c r="W24" i="3"/>
  <c r="AB5" i="1"/>
  <c r="W79" i="3" l="1"/>
  <c r="W80" i="3" s="1"/>
  <c r="W40" i="3"/>
  <c r="AB25" i="1"/>
  <c r="AB30" i="1" s="1"/>
  <c r="AB32" i="1" l="1"/>
  <c r="AB36" i="1"/>
  <c r="AB37" i="1" s="1"/>
  <c r="X36" i="4" l="1"/>
  <c r="X39" i="4" s="1"/>
  <c r="X73" i="4" s="1"/>
  <c r="AB35" i="1"/>
  <c r="W36" i="4"/>
  <c r="W39" i="4" s="1"/>
  <c r="W73" i="4" s="1"/>
  <c r="AA34" i="1"/>
  <c r="AA33" i="1"/>
  <c r="AA31" i="1"/>
  <c r="Q31" i="1"/>
  <c r="L31" i="1"/>
  <c r="G31" i="1"/>
  <c r="AA27" i="1"/>
  <c r="Q27" i="1"/>
  <c r="L27" i="1"/>
  <c r="G27" i="1"/>
  <c r="AA26" i="1"/>
  <c r="Q26" i="1"/>
  <c r="L26" i="1"/>
  <c r="G26" i="1"/>
  <c r="AA24" i="1"/>
  <c r="Q24" i="1"/>
  <c r="L24" i="1"/>
  <c r="G24" i="1"/>
  <c r="AA21" i="1"/>
  <c r="Q21" i="1"/>
  <c r="L21" i="1"/>
  <c r="G21" i="1"/>
  <c r="AA20" i="1"/>
  <c r="Q20" i="1"/>
  <c r="L20" i="1"/>
  <c r="G20" i="1"/>
  <c r="AA14" i="1"/>
  <c r="Q14" i="1"/>
  <c r="L14" i="1"/>
  <c r="G14" i="1"/>
  <c r="AA19" i="1"/>
  <c r="Q19" i="1"/>
  <c r="L19" i="1"/>
  <c r="G19" i="1"/>
  <c r="Q12" i="1"/>
  <c r="L12" i="1"/>
  <c r="G12" i="1"/>
  <c r="AA13" i="1"/>
  <c r="Q13" i="1"/>
  <c r="L13" i="1"/>
  <c r="G13" i="1"/>
  <c r="AA16" i="1"/>
  <c r="Q16" i="1"/>
  <c r="L16" i="1"/>
  <c r="G16" i="1"/>
  <c r="AA15" i="1"/>
  <c r="Q15" i="1"/>
  <c r="L15" i="1"/>
  <c r="G15" i="1"/>
  <c r="AA10" i="1"/>
  <c r="Q10" i="1"/>
  <c r="L10" i="1"/>
  <c r="G10"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1" i="1"/>
  <c r="AA11" i="1"/>
  <c r="Q11" i="1"/>
  <c r="Q25" i="1" s="1"/>
  <c r="Q30" i="1" s="1"/>
  <c r="G11" i="1"/>
  <c r="C25" i="1"/>
  <c r="C30" i="1" s="1"/>
  <c r="M25" i="1"/>
  <c r="M30" i="1" s="1"/>
  <c r="U25" i="1"/>
  <c r="U30" i="1" s="1"/>
  <c r="Z25" i="1"/>
  <c r="Z30" i="1" s="1"/>
  <c r="D25" i="1"/>
  <c r="D30" i="1" s="1"/>
  <c r="E25" i="1"/>
  <c r="E30" i="1" s="1"/>
  <c r="O25" i="1"/>
  <c r="O30" i="1" s="1"/>
  <c r="F25" i="1"/>
  <c r="F30" i="1" s="1"/>
  <c r="P25" i="1"/>
  <c r="P30" i="1" s="1"/>
  <c r="N25" i="1"/>
  <c r="N30" i="1" s="1"/>
  <c r="I25" i="1"/>
  <c r="I30" i="1" s="1"/>
  <c r="R25" i="1"/>
  <c r="R30" i="1" s="1"/>
  <c r="V25" i="1"/>
  <c r="V30" i="1" s="1"/>
  <c r="S25" i="1"/>
  <c r="S30" i="1" s="1"/>
  <c r="W25" i="1"/>
  <c r="W30" i="1" s="1"/>
  <c r="K25" i="1"/>
  <c r="K30" i="1" s="1"/>
  <c r="T25" i="1"/>
  <c r="T30" i="1" s="1"/>
  <c r="X25" i="1"/>
  <c r="X30" i="1" s="1"/>
  <c r="Y25" i="1"/>
  <c r="Y30" i="1" s="1"/>
  <c r="J25" i="1"/>
  <c r="J30" i="1" s="1"/>
  <c r="H25" i="1"/>
  <c r="H30" i="1" s="1"/>
  <c r="L25" i="1" l="1"/>
  <c r="L30" i="1" s="1"/>
  <c r="L32" i="1" s="1"/>
  <c r="G25" i="1"/>
  <c r="G30" i="1" s="1"/>
  <c r="G32" i="1" s="1"/>
  <c r="G33" i="1" s="1"/>
  <c r="AA25" i="1"/>
  <c r="AA30" i="1" s="1"/>
  <c r="AA32" i="1" s="1"/>
  <c r="AA35" i="1" s="1"/>
  <c r="P36" i="1"/>
  <c r="P37" i="1" s="1"/>
  <c r="S36" i="1"/>
  <c r="S37" i="1" s="1"/>
  <c r="S32" i="1"/>
  <c r="S35" i="1" s="1"/>
  <c r="O36" i="1"/>
  <c r="O37" i="1" s="1"/>
  <c r="U32" i="1"/>
  <c r="K32" i="1"/>
  <c r="K35" i="1" s="1"/>
  <c r="V32" i="1"/>
  <c r="E36" i="1"/>
  <c r="E37" i="1" s="1"/>
  <c r="M36" i="1"/>
  <c r="M37" i="1" s="1"/>
  <c r="Q32" i="1"/>
  <c r="Y36" i="1"/>
  <c r="Y37" i="1" s="1"/>
  <c r="Y32" i="1"/>
  <c r="Y35" i="1" s="1"/>
  <c r="R32" i="1"/>
  <c r="P32" i="1"/>
  <c r="P35" i="1" s="1"/>
  <c r="D36" i="1"/>
  <c r="D37" i="1" s="1"/>
  <c r="D32" i="1"/>
  <c r="C32" i="1"/>
  <c r="C33" i="1" s="1"/>
  <c r="T32" i="1"/>
  <c r="N36" i="1"/>
  <c r="N37" i="1" s="1"/>
  <c r="X36" i="1"/>
  <c r="X37" i="1" s="1"/>
  <c r="W36" i="1"/>
  <c r="W37" i="1" s="1"/>
  <c r="I36" i="1"/>
  <c r="I37" i="1" s="1"/>
  <c r="F32" i="1"/>
  <c r="Z36" i="1"/>
  <c r="Z37" i="1" s="1"/>
  <c r="Z32" i="1"/>
  <c r="Z35" i="1" s="1"/>
  <c r="V36" i="1"/>
  <c r="V37" i="1" s="1"/>
  <c r="N32" i="1"/>
  <c r="N33" i="1" s="1"/>
  <c r="C36" i="1"/>
  <c r="C37" i="1" s="1"/>
  <c r="E32" i="1"/>
  <c r="E33" i="1" s="1"/>
  <c r="Q36" i="1"/>
  <c r="Q37" i="1" s="1"/>
  <c r="M32" i="1"/>
  <c r="M33" i="1" s="1"/>
  <c r="O32" i="1"/>
  <c r="O33" i="1" s="1"/>
  <c r="U36" i="1"/>
  <c r="U37" i="1" s="1"/>
  <c r="F36" i="1"/>
  <c r="F37" i="1" s="1"/>
  <c r="T36" i="1"/>
  <c r="T37" i="1" s="1"/>
  <c r="X32" i="1"/>
  <c r="X35" i="1" s="1"/>
  <c r="R36" i="1"/>
  <c r="R37" i="1" s="1"/>
  <c r="K36" i="1"/>
  <c r="K37" i="1" s="1"/>
  <c r="I32" i="1"/>
  <c r="I35" i="1" s="1"/>
  <c r="W32" i="1"/>
  <c r="J36" i="1"/>
  <c r="J37" i="1" s="1"/>
  <c r="J32" i="1"/>
  <c r="H36" i="1"/>
  <c r="H37" i="1" s="1"/>
  <c r="H32" i="1"/>
  <c r="L36" i="1" l="1"/>
  <c r="L37" i="1" s="1"/>
  <c r="AA36" i="1"/>
  <c r="AA37" i="1" s="1"/>
  <c r="G36" i="1"/>
  <c r="G37" i="1" s="1"/>
  <c r="P33" i="1"/>
  <c r="K33" i="1"/>
  <c r="Q33" i="1"/>
  <c r="Q35" i="1"/>
  <c r="D33" i="1"/>
  <c r="D35" i="1"/>
  <c r="R5" i="4"/>
  <c r="V33" i="1"/>
  <c r="V35" i="1"/>
  <c r="R33" i="1"/>
  <c r="R35" i="1"/>
  <c r="T33" i="1"/>
  <c r="T35" i="1"/>
  <c r="F35" i="1"/>
  <c r="F33" i="1"/>
  <c r="U35" i="1"/>
  <c r="U33" i="1"/>
  <c r="C35" i="1"/>
  <c r="G35" i="1"/>
  <c r="E35" i="1"/>
  <c r="N35" i="1"/>
  <c r="M35" i="1"/>
  <c r="L5" i="4"/>
  <c r="O35" i="1"/>
  <c r="V5" i="4"/>
  <c r="S33" i="1"/>
  <c r="W35" i="1"/>
  <c r="T5" i="4"/>
  <c r="U5" i="4" s="1"/>
  <c r="S5" i="4"/>
  <c r="I33" i="1"/>
  <c r="Q5" i="4"/>
  <c r="H35" i="1"/>
  <c r="H33" i="1"/>
  <c r="J33" i="1"/>
  <c r="J35" i="1"/>
  <c r="L35" i="1"/>
  <c r="L33" i="1"/>
  <c r="V72" i="4" l="1"/>
  <c r="V57" i="4"/>
  <c r="V6" i="4"/>
  <c r="V76" i="3"/>
  <c r="V63" i="3"/>
  <c r="V52" i="3"/>
  <c r="V54" i="3" s="1"/>
  <c r="V37" i="3"/>
  <c r="V24" i="3"/>
  <c r="V36" i="4" l="1"/>
  <c r="V39" i="4" s="1"/>
  <c r="V73" i="4" s="1"/>
  <c r="V79" i="3"/>
  <c r="V80" i="3" s="1"/>
  <c r="V40" i="3"/>
  <c r="U72" i="4" l="1"/>
  <c r="U57" i="4"/>
  <c r="U6" i="4"/>
  <c r="U76" i="3"/>
  <c r="U63" i="3"/>
  <c r="U52" i="3"/>
  <c r="U54" i="3" s="1"/>
  <c r="U37" i="3"/>
  <c r="U24" i="3"/>
  <c r="U79" i="3" l="1"/>
  <c r="U80" i="3" s="1"/>
  <c r="U40" i="3"/>
  <c r="U36" i="4"/>
  <c r="U39" i="4" s="1"/>
  <c r="U73" i="4" s="1"/>
  <c r="T72" i="4" l="1"/>
  <c r="T57" i="4"/>
  <c r="T6" i="4"/>
  <c r="T76" i="3"/>
  <c r="T63" i="3"/>
  <c r="T52" i="3"/>
  <c r="T54" i="3" s="1"/>
  <c r="T37" i="3"/>
  <c r="T24" i="3"/>
  <c r="T79" i="3" l="1"/>
  <c r="T80" i="3" s="1"/>
  <c r="T40" i="3"/>
  <c r="C6" i="3"/>
  <c r="S72" i="4" l="1"/>
  <c r="S57" i="4"/>
  <c r="S6" i="4"/>
  <c r="S76" i="3"/>
  <c r="S63" i="3"/>
  <c r="S52" i="3"/>
  <c r="S54" i="3" s="1"/>
  <c r="S37" i="3"/>
  <c r="S24" i="3"/>
  <c r="S79" i="3" l="1"/>
  <c r="S80" i="3" s="1"/>
  <c r="S40" i="3"/>
  <c r="R72" i="4" l="1"/>
  <c r="R57" i="4"/>
  <c r="R6" i="4"/>
  <c r="R76" i="3"/>
  <c r="R63" i="3"/>
  <c r="R52" i="3"/>
  <c r="R54" i="3" s="1"/>
  <c r="R37" i="3"/>
  <c r="R24" i="3"/>
  <c r="T36" i="4" l="1"/>
  <c r="T39" i="4" s="1"/>
  <c r="T73" i="4" s="1"/>
  <c r="S36" i="4"/>
  <c r="S39" i="4" s="1"/>
  <c r="S73" i="4" s="1"/>
  <c r="R79" i="3"/>
  <c r="R80" i="3" s="1"/>
  <c r="R40" i="3"/>
  <c r="R36" i="4" l="1"/>
  <c r="R39" i="4" s="1"/>
  <c r="R73" i="4" s="1"/>
  <c r="R77" i="4" s="1"/>
  <c r="V74" i="4" l="1"/>
  <c r="V77" i="4" s="1"/>
  <c r="Y74" i="4" s="1"/>
  <c r="Z74" i="4" s="1"/>
  <c r="U74" i="4"/>
  <c r="U77" i="4" s="1"/>
  <c r="T74" i="4"/>
  <c r="T77" i="4" s="1"/>
  <c r="S74" i="4"/>
  <c r="S77" i="4" s="1"/>
  <c r="H35" i="4"/>
  <c r="I35" i="4"/>
  <c r="Z77" i="4" l="1"/>
  <c r="Y77" i="4"/>
  <c r="W74" i="4"/>
  <c r="W77" i="4" s="1"/>
  <c r="X74" i="4"/>
  <c r="X77" i="4" s="1"/>
  <c r="AA74" i="4" l="1"/>
  <c r="AA77" i="4" s="1"/>
  <c r="AC74" i="4"/>
  <c r="AD74" i="4" s="1"/>
  <c r="AB74" i="4"/>
  <c r="AC77" i="4" l="1"/>
  <c r="AB77" i="4"/>
  <c r="C72" i="4"/>
  <c r="J72" i="4"/>
  <c r="K72" i="4"/>
  <c r="L72" i="4"/>
  <c r="M72" i="4"/>
  <c r="N72" i="4"/>
  <c r="O72" i="4"/>
  <c r="P72" i="4"/>
  <c r="Q72" i="4"/>
  <c r="K75" i="3"/>
  <c r="J75" i="3"/>
  <c r="I75" i="3"/>
  <c r="H75" i="3"/>
  <c r="G75" i="3"/>
  <c r="F75" i="3"/>
  <c r="E75" i="3"/>
  <c r="D75" i="3"/>
  <c r="K74" i="3"/>
  <c r="J74" i="3"/>
  <c r="I74" i="3"/>
  <c r="H74" i="3"/>
  <c r="G74" i="3"/>
  <c r="F74" i="3"/>
  <c r="E74" i="3"/>
  <c r="D74" i="3"/>
  <c r="K73" i="3"/>
  <c r="J73" i="3"/>
  <c r="I73" i="3"/>
  <c r="H73" i="3"/>
  <c r="G73" i="3"/>
  <c r="F73" i="3"/>
  <c r="E73" i="3"/>
  <c r="D73" i="3"/>
  <c r="K69" i="3"/>
  <c r="J69" i="3"/>
  <c r="I69" i="3"/>
  <c r="H69" i="3"/>
  <c r="G69" i="3"/>
  <c r="F69" i="3"/>
  <c r="E69" i="3"/>
  <c r="D69" i="3"/>
  <c r="K66" i="3"/>
  <c r="J66" i="3"/>
  <c r="I66" i="3"/>
  <c r="H66" i="3"/>
  <c r="G66" i="3"/>
  <c r="F66" i="3"/>
  <c r="E66" i="3"/>
  <c r="D66" i="3"/>
  <c r="K65" i="3"/>
  <c r="J65" i="3"/>
  <c r="I65" i="3"/>
  <c r="H65" i="3"/>
  <c r="G65" i="3"/>
  <c r="F65" i="3"/>
  <c r="E65" i="3"/>
  <c r="D65" i="3"/>
  <c r="K64" i="3"/>
  <c r="J64" i="3"/>
  <c r="I64" i="3"/>
  <c r="H64" i="3"/>
  <c r="G64" i="3"/>
  <c r="F64" i="3"/>
  <c r="E64" i="3"/>
  <c r="D64" i="3"/>
  <c r="K61" i="3"/>
  <c r="J61" i="3"/>
  <c r="I61" i="3"/>
  <c r="H61" i="3"/>
  <c r="G61" i="3"/>
  <c r="F61" i="3"/>
  <c r="E61" i="3"/>
  <c r="D61" i="3"/>
  <c r="K60" i="3"/>
  <c r="J60" i="3"/>
  <c r="I60" i="3"/>
  <c r="H60" i="3"/>
  <c r="G60" i="3"/>
  <c r="F60" i="3"/>
  <c r="E60" i="3"/>
  <c r="D60" i="3"/>
  <c r="K59" i="3"/>
  <c r="J59" i="3"/>
  <c r="I59" i="3"/>
  <c r="H59" i="3"/>
  <c r="G59" i="3"/>
  <c r="F59" i="3"/>
  <c r="E59" i="3"/>
  <c r="D59" i="3"/>
  <c r="K57" i="3"/>
  <c r="J57" i="3"/>
  <c r="I57" i="3"/>
  <c r="H57" i="3"/>
  <c r="G57" i="3"/>
  <c r="F57" i="3"/>
  <c r="E57" i="3"/>
  <c r="D57" i="3"/>
  <c r="K56" i="3"/>
  <c r="J56" i="3"/>
  <c r="I56" i="3"/>
  <c r="H56" i="3"/>
  <c r="G56" i="3"/>
  <c r="F56" i="3"/>
  <c r="E56" i="3"/>
  <c r="D56" i="3"/>
  <c r="K55" i="3"/>
  <c r="J55" i="3"/>
  <c r="I55" i="3"/>
  <c r="H55" i="3"/>
  <c r="G55" i="3"/>
  <c r="F55" i="3"/>
  <c r="E55" i="3"/>
  <c r="D55" i="3"/>
  <c r="K50" i="3"/>
  <c r="J50" i="3"/>
  <c r="I50" i="3"/>
  <c r="H50" i="3"/>
  <c r="G50" i="3"/>
  <c r="F50" i="3"/>
  <c r="E50" i="3"/>
  <c r="D50" i="3"/>
  <c r="J49" i="3"/>
  <c r="I49" i="3"/>
  <c r="H49" i="3"/>
  <c r="G49" i="3"/>
  <c r="F49" i="3"/>
  <c r="E49" i="3"/>
  <c r="D49" i="3"/>
  <c r="K45" i="3"/>
  <c r="J45" i="3"/>
  <c r="I45" i="3"/>
  <c r="H45" i="3"/>
  <c r="G45" i="3"/>
  <c r="F45" i="3"/>
  <c r="E45" i="3"/>
  <c r="D45" i="3"/>
  <c r="K42" i="3"/>
  <c r="J42" i="3"/>
  <c r="I42" i="3"/>
  <c r="H42" i="3"/>
  <c r="G42" i="3"/>
  <c r="F42" i="3"/>
  <c r="E42" i="3"/>
  <c r="D42" i="3"/>
  <c r="K35" i="3"/>
  <c r="J35" i="3"/>
  <c r="I35" i="3"/>
  <c r="H35" i="3"/>
  <c r="G35" i="3"/>
  <c r="F35" i="3"/>
  <c r="E35" i="3"/>
  <c r="D35"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6" i="3"/>
  <c r="I34" i="3"/>
  <c r="I33" i="3"/>
  <c r="I29" i="3"/>
  <c r="H62" i="3"/>
  <c r="H58" i="3"/>
  <c r="H29" i="3"/>
  <c r="G36" i="3"/>
  <c r="G34" i="3"/>
  <c r="G33" i="3"/>
  <c r="G29" i="3"/>
  <c r="F33" i="3"/>
  <c r="F29" i="3"/>
  <c r="E62" i="3"/>
  <c r="E58" i="3"/>
  <c r="E36" i="3"/>
  <c r="E29" i="3"/>
  <c r="D62" i="3"/>
  <c r="D58" i="3"/>
  <c r="D36" i="3"/>
  <c r="D34" i="3"/>
  <c r="D33" i="3"/>
  <c r="D29" i="3"/>
  <c r="C75" i="3"/>
  <c r="C74" i="3"/>
  <c r="C73" i="3"/>
  <c r="C69" i="3"/>
  <c r="C66" i="3"/>
  <c r="C65" i="3"/>
  <c r="C64" i="3"/>
  <c r="M62" i="3"/>
  <c r="L62" i="3"/>
  <c r="C62" i="3"/>
  <c r="C61" i="3"/>
  <c r="C59" i="3"/>
  <c r="C58" i="3"/>
  <c r="C57" i="3"/>
  <c r="C56" i="3"/>
  <c r="C55" i="3"/>
  <c r="C50" i="3"/>
  <c r="C47" i="3"/>
  <c r="C46" i="3"/>
  <c r="C44" i="3"/>
  <c r="C43" i="3"/>
  <c r="C42" i="3"/>
  <c r="C35" i="3"/>
  <c r="C32" i="3"/>
  <c r="C30" i="3"/>
  <c r="C29" i="3"/>
  <c r="C27" i="3"/>
  <c r="C25" i="3"/>
  <c r="C23" i="3"/>
  <c r="C19" i="3"/>
  <c r="C14" i="3"/>
  <c r="C13" i="3"/>
  <c r="C11" i="3"/>
  <c r="C10" i="3"/>
  <c r="C9" i="3"/>
  <c r="C8" i="3"/>
  <c r="C7" i="3"/>
  <c r="P37" i="3"/>
  <c r="Q37" i="3"/>
  <c r="M33" i="3"/>
  <c r="M37" i="3" s="1"/>
  <c r="L33" i="3"/>
  <c r="L37" i="3" s="1"/>
  <c r="H37" i="3" l="1"/>
  <c r="C37" i="3"/>
  <c r="C63" i="3"/>
  <c r="K37" i="3"/>
  <c r="J37" i="3"/>
  <c r="I37" i="3"/>
  <c r="G37" i="3"/>
  <c r="F37" i="3"/>
  <c r="E37" i="3"/>
  <c r="D37" i="3"/>
  <c r="Q57" i="4" l="1"/>
  <c r="Q6" i="4"/>
  <c r="Q76" i="3"/>
  <c r="Q63" i="3"/>
  <c r="Q52" i="3"/>
  <c r="Q54" i="3" s="1"/>
  <c r="Q24" i="3"/>
  <c r="Q79" i="3" l="1"/>
  <c r="Q80" i="3" s="1"/>
  <c r="Q40" i="3"/>
  <c r="P57" i="4" l="1"/>
  <c r="P6" i="4"/>
  <c r="P36" i="4" s="1"/>
  <c r="P39" i="4" s="1"/>
  <c r="P63" i="3"/>
  <c r="P76" i="3"/>
  <c r="P52" i="3"/>
  <c r="P54" i="3" s="1"/>
  <c r="P24" i="3"/>
  <c r="O76" i="3"/>
  <c r="N76" i="3"/>
  <c r="O63" i="3"/>
  <c r="N63" i="3"/>
  <c r="O24" i="3"/>
  <c r="N24" i="3"/>
  <c r="O57" i="4"/>
  <c r="O6" i="4"/>
  <c r="O36" i="4" s="1"/>
  <c r="O39" i="4" s="1"/>
  <c r="O52" i="3"/>
  <c r="O54" i="3" s="1"/>
  <c r="P79" i="3" l="1"/>
  <c r="P73" i="4"/>
  <c r="P77" i="4" s="1"/>
  <c r="P40" i="3"/>
  <c r="O73" i="4"/>
  <c r="O77" i="4" s="1"/>
  <c r="O79" i="3"/>
  <c r="N57" i="4"/>
  <c r="N6" i="4"/>
  <c r="N52" i="3"/>
  <c r="N54" i="3" s="1"/>
  <c r="P80" i="3" l="1"/>
  <c r="Q36" i="4"/>
  <c r="Q39" i="4" s="1"/>
  <c r="Q73" i="4" s="1"/>
  <c r="Q77" i="4" s="1"/>
  <c r="O80" i="3"/>
  <c r="N79" i="3"/>
  <c r="M57" i="4"/>
  <c r="M6" i="4"/>
  <c r="M76" i="3"/>
  <c r="M63" i="3"/>
  <c r="M52" i="3"/>
  <c r="M54" i="3" s="1"/>
  <c r="M24" i="3"/>
  <c r="N80" i="3" l="1"/>
  <c r="M36" i="4"/>
  <c r="M39" i="4" s="1"/>
  <c r="M73" i="4" s="1"/>
  <c r="M77" i="4" s="1"/>
  <c r="M79" i="3"/>
  <c r="M40" i="3"/>
  <c r="M80" i="3" l="1"/>
  <c r="N36" i="4" l="1"/>
  <c r="E6" i="4"/>
  <c r="D6" i="4"/>
  <c r="C6" i="4"/>
  <c r="I63" i="4"/>
  <c r="I72" i="4" s="1"/>
  <c r="H63" i="4"/>
  <c r="H72" i="4" s="1"/>
  <c r="G63" i="4"/>
  <c r="G72" i="4" s="1"/>
  <c r="F63" i="4"/>
  <c r="F72" i="4" s="1"/>
  <c r="E63" i="4"/>
  <c r="E72" i="4" s="1"/>
  <c r="D63" i="4"/>
  <c r="D72" i="4" s="1"/>
  <c r="N39" i="4" l="1"/>
  <c r="J53" i="3"/>
  <c r="K53" i="3"/>
  <c r="I53" i="3"/>
  <c r="C57" i="4"/>
  <c r="D57" i="4"/>
  <c r="E57" i="4"/>
  <c r="F57" i="4"/>
  <c r="G57" i="4"/>
  <c r="H57" i="4"/>
  <c r="I57" i="4"/>
  <c r="J57" i="4"/>
  <c r="K57" i="4"/>
  <c r="L57" i="4"/>
  <c r="O29" i="3" l="1"/>
  <c r="O37" i="3" s="1"/>
  <c r="N29" i="3"/>
  <c r="N34" i="3"/>
  <c r="N73" i="4"/>
  <c r="L6" i="4"/>
  <c r="L76" i="3"/>
  <c r="L63" i="3"/>
  <c r="L52" i="3"/>
  <c r="L54" i="3" s="1"/>
  <c r="L24" i="3"/>
  <c r="N37" i="3" l="1"/>
  <c r="I52" i="3"/>
  <c r="I54" i="3" s="1"/>
  <c r="E76" i="3"/>
  <c r="D63" i="3"/>
  <c r="J76" i="3"/>
  <c r="H52" i="3"/>
  <c r="H54" i="3" s="1"/>
  <c r="I63" i="3"/>
  <c r="J52" i="3"/>
  <c r="J54" i="3" s="1"/>
  <c r="D76" i="3"/>
  <c r="F76" i="3"/>
  <c r="J63" i="3"/>
  <c r="G52" i="3"/>
  <c r="G54" i="3" s="1"/>
  <c r="E52" i="3"/>
  <c r="E54" i="3" s="1"/>
  <c r="K76" i="3"/>
  <c r="F63" i="3"/>
  <c r="C52" i="3"/>
  <c r="C54" i="3" s="1"/>
  <c r="E63" i="3"/>
  <c r="H76" i="3"/>
  <c r="G76" i="3"/>
  <c r="K63" i="3"/>
  <c r="H63" i="3"/>
  <c r="C76" i="3"/>
  <c r="F52" i="3"/>
  <c r="F54" i="3" s="1"/>
  <c r="K24" i="3"/>
  <c r="I76" i="3"/>
  <c r="G63" i="3"/>
  <c r="D52" i="3"/>
  <c r="D54" i="3" s="1"/>
  <c r="K52" i="3"/>
  <c r="K54" i="3" s="1"/>
  <c r="N77" i="4"/>
  <c r="G24" i="3"/>
  <c r="F24" i="3"/>
  <c r="H24" i="3"/>
  <c r="C24" i="3"/>
  <c r="I24" i="3"/>
  <c r="J24" i="3"/>
  <c r="E24" i="3"/>
  <c r="D24" i="3"/>
  <c r="L40" i="3"/>
  <c r="L79" i="3"/>
  <c r="E79" i="3" l="1"/>
  <c r="E80" i="3" s="1"/>
  <c r="I79" i="3"/>
  <c r="I80" i="3" s="1"/>
  <c r="C79" i="3"/>
  <c r="C80" i="3" s="1"/>
  <c r="K79" i="3"/>
  <c r="K80" i="3" s="1"/>
  <c r="J79" i="3"/>
  <c r="J80" i="3" s="1"/>
  <c r="G40" i="3"/>
  <c r="F79" i="3"/>
  <c r="F80" i="3" s="1"/>
  <c r="D79" i="3"/>
  <c r="D80" i="3" s="1"/>
  <c r="H79" i="3"/>
  <c r="H80" i="3" s="1"/>
  <c r="J40" i="3"/>
  <c r="O40" i="3"/>
  <c r="G79" i="3"/>
  <c r="G80" i="3" s="1"/>
  <c r="H40" i="3"/>
  <c r="N40" i="3"/>
  <c r="E40" i="3"/>
  <c r="D40" i="3"/>
  <c r="L80" i="3"/>
  <c r="C40" i="3"/>
  <c r="F40" i="3"/>
  <c r="K40" i="3"/>
  <c r="I40" i="3"/>
  <c r="L36" i="4" l="1"/>
  <c r="L39" i="4" s="1"/>
  <c r="L73" i="4" s="1"/>
  <c r="L77" i="4" s="1"/>
  <c r="D36" i="4" l="1"/>
  <c r="D39" i="4" s="1"/>
  <c r="D73" i="4" l="1"/>
  <c r="D77" i="4" s="1"/>
  <c r="F6" i="4" l="1"/>
  <c r="F36" i="4" s="1"/>
  <c r="F39" i="4" s="1"/>
  <c r="F73" i="4" s="1"/>
  <c r="F77" i="4" s="1"/>
  <c r="K6" i="4"/>
  <c r="K36" i="4" s="1"/>
  <c r="K39" i="4" s="1"/>
  <c r="K73" i="4" s="1"/>
  <c r="K77" i="4" s="1"/>
  <c r="C36" i="4"/>
  <c r="C39" i="4" s="1"/>
  <c r="C73" i="4" s="1"/>
  <c r="C77" i="4" s="1"/>
  <c r="G6" i="4"/>
  <c r="G36" i="4" s="1"/>
  <c r="G39" i="4" s="1"/>
  <c r="G73" i="4" s="1"/>
  <c r="G77" i="4" s="1"/>
  <c r="H6" i="4"/>
  <c r="H36" i="4" s="1"/>
  <c r="H39" i="4" s="1"/>
  <c r="H73" i="4" s="1"/>
  <c r="H77" i="4" s="1"/>
  <c r="E36" i="4"/>
  <c r="E39" i="4" s="1"/>
  <c r="E73" i="4" s="1"/>
  <c r="E77" i="4" s="1"/>
  <c r="J6" i="4"/>
  <c r="J36" i="4" s="1"/>
  <c r="J39" i="4" s="1"/>
  <c r="J73" i="4" s="1"/>
  <c r="J77" i="4" s="1"/>
  <c r="I6" i="4"/>
  <c r="I36" i="4" s="1"/>
  <c r="I39" i="4" s="1"/>
  <c r="I73" i="4" s="1"/>
  <c r="I77" i="4" s="1"/>
  <c r="AD36" i="4" l="1"/>
  <c r="AD39" i="4" l="1"/>
  <c r="AD73" i="4" l="1"/>
  <c r="AD77" i="4" l="1"/>
  <c r="AL74" i="4" l="1"/>
  <c r="AH74" i="4"/>
  <c r="AK74" i="4"/>
  <c r="AK77" i="4" s="1"/>
  <c r="AJ74" i="4"/>
  <c r="AJ77" i="4" s="1"/>
  <c r="AG74" i="4"/>
  <c r="AG77" i="4" s="1"/>
  <c r="AF74" i="4"/>
  <c r="AF77" i="4" s="1"/>
  <c r="AK31" i="1"/>
  <c r="AK32" i="1" s="1"/>
  <c r="AK35" i="1" s="1"/>
  <c r="AJ32" i="1"/>
  <c r="AJ35" i="1" s="1"/>
  <c r="AH77" i="4" l="1"/>
  <c r="AL77" i="4"/>
  <c r="AM74" i="4" s="1"/>
  <c r="AM77" i="4" s="1"/>
  <c r="AW24" i="5" l="1"/>
  <c r="AW5" i="5" s="1"/>
  <c r="AZ5" i="5" l="1"/>
  <c r="AU36" i="4"/>
  <c r="AU39" i="4" s="1"/>
  <c r="AU73" i="4" l="1"/>
  <c r="AU77" i="4" s="1"/>
  <c r="U16" i="9"/>
  <c r="U6" i="9" l="1"/>
  <c r="BN25" i="1" l="1"/>
  <c r="BP6" i="1"/>
  <c r="BP5" i="1" l="1"/>
  <c r="BN30" i="1"/>
  <c r="BN36" i="1"/>
  <c r="BN32" i="1" l="1"/>
  <c r="BN35" i="1" s="1"/>
  <c r="BO35" i="1" s="1"/>
  <c r="BP25" i="1"/>
  <c r="BN40" i="1"/>
  <c r="BP40" i="1" s="1"/>
  <c r="BQ7" i="7"/>
  <c r="AW5" i="4"/>
  <c r="AW36" i="4" s="1"/>
  <c r="BN37" i="1"/>
  <c r="BQ4" i="7" s="1"/>
  <c r="AV39" i="4"/>
  <c r="BQ5" i="7" l="1"/>
  <c r="BQ6" i="7"/>
  <c r="AW39" i="4"/>
  <c r="AW73" i="4" s="1"/>
  <c r="AV73" i="4"/>
  <c r="BP36" i="1"/>
  <c r="BP30" i="1"/>
  <c r="BN41" i="1"/>
  <c r="BP41" i="1"/>
  <c r="AW77" i="4" l="1"/>
  <c r="AV77" i="4"/>
  <c r="BP32" i="1"/>
  <c r="BP37" i="1"/>
  <c r="BS4" i="7" s="1"/>
  <c r="BS7" i="7" l="1"/>
  <c r="BS6" i="7"/>
  <c r="BS5" i="7"/>
  <c r="AX5" i="4"/>
  <c r="AX36" i="4" l="1"/>
  <c r="AX39" i="4" l="1"/>
  <c r="AX73" i="4" l="1"/>
  <c r="AX77" i="4" l="1"/>
  <c r="BA74" i="4" s="1"/>
  <c r="BA77" i="4" s="1"/>
  <c r="AY74" i="4" l="1"/>
  <c r="AZ74" i="4"/>
  <c r="AZ77" i="4" s="1"/>
  <c r="AY77" i="4"/>
</calcChain>
</file>

<file path=xl/sharedStrings.xml><?xml version="1.0" encoding="utf-8"?>
<sst xmlns="http://schemas.openxmlformats.org/spreadsheetml/2006/main" count="1683" uniqueCount="796">
  <si>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</si>
  <si>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</si>
  <si>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</si>
  <si>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</si>
  <si>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</si>
  <si>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</si>
  <si>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</si>
  <si>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</si>
  <si>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</si>
  <si>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</si>
  <si>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</si>
  <si>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</si>
  <si>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</si>
  <si>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</si>
  <si>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</si>
  <si>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</si>
  <si>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</si>
  <si>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</si>
  <si>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</si>
  <si>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</si>
  <si>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</si>
  <si>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</si>
  <si>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</si>
  <si>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</si>
  <si>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</si>
  <si>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</si>
  <si>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</si>
  <si>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</si>
  <si>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</si>
  <si>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</si>
  <si>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</si>
  <si>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</si>
  <si>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YTD2023</t>
  </si>
  <si>
    <t>YTD2024</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</si>
  <si>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</si>
  <si>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</si>
  <si>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</si>
  <si>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</si>
  <si>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</si>
  <si>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</si>
  <si>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</si>
  <si>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</si>
  <si>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</si>
  <si>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</si>
  <si>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</si>
  <si>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</si>
  <si>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</si>
  <si>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</si>
  <si>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</si>
  <si>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</si>
  <si>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</si>
  <si>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</si>
  <si>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</si>
  <si>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</si>
  <si>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</si>
  <si>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</si>
  <si>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</si>
  <si>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</si>
  <si>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</si>
  <si>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</si>
  <si>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</si>
  <si>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</si>
  <si>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</si>
  <si>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</si>
  <si>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</si>
  <si>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</si>
  <si>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</si>
  <si>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</si>
  <si>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</si>
  <si>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</si>
  <si>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</si>
  <si>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</si>
  <si>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</si>
  <si>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</si>
  <si>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</si>
  <si>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</si>
  <si>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</si>
  <si>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</si>
  <si>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</si>
  <si>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</si>
  <si>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</si>
  <si>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</si>
  <si>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</si>
  <si>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</si>
  <si>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</si>
  <si>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</si>
  <si>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</si>
  <si>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Net profit attributable to equity holders of the Parent</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</si>
  <si>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</si>
  <si>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</si>
  <si>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</si>
  <si>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</si>
  <si>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</si>
  <si>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</si>
  <si>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</si>
  <si>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</si>
  <si>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</si>
  <si>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</si>
  <si>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</si>
  <si>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</si>
  <si>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</si>
  <si>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</si>
  <si>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EBITDA skorygowana, z wyłączeniem zbycia aktywów</t>
  </si>
  <si>
    <t>marża EBITDA skorygowana, z wyłączeniem zbycia aktywów</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</si>
  <si>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</si>
  <si>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</si>
  <si>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</si>
  <si>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</si>
  <si>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</si>
  <si>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</si>
  <si>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</si>
  <si>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</si>
  <si>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</si>
  <si>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</si>
  <si>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</si>
  <si>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</si>
  <si>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</si>
  <si>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</si>
  <si>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</si>
  <si>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</si>
  <si>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</si>
  <si>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</si>
  <si>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</si>
  <si>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</si>
  <si>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</si>
  <si>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</si>
  <si>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</si>
  <si>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</si>
  <si>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</si>
  <si>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</si>
  <si>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</si>
  <si>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</si>
  <si>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</si>
  <si>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</si>
  <si>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</si>
  <si>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</si>
  <si>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</si>
  <si>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</si>
  <si>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</si>
  <si>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</si>
  <si>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</si>
  <si>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</si>
  <si>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</si>
  <si>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</si>
  <si>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</si>
  <si>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</si>
  <si>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</si>
  <si>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</si>
  <si>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</si>
  <si>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</si>
  <si>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t>-</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</si>
  <si>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</si>
  <si>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</si>
  <si>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</si>
  <si>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</si>
  <si>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</si>
  <si>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</si>
  <si>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</si>
  <si>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</si>
  <si>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akcje/udziały w pozostałych jednostkach wyceniane do wartości godziwej</t>
  </si>
  <si>
    <t>shares in associates valued in fair value</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</si>
  <si>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</si>
  <si>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</si>
  <si>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</si>
  <si>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</si>
  <si>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</si>
  <si>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</si>
  <si>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</si>
  <si>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</si>
  <si>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</si>
  <si>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</si>
  <si>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</si>
  <si>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</si>
  <si>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</si>
  <si>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</si>
  <si>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</si>
  <si>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</si>
  <si>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</si>
  <si>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</si>
  <si>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</si>
  <si>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</si>
  <si>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</si>
  <si>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</si>
  <si>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</si>
  <si>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</si>
  <si>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</si>
  <si>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</si>
  <si>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</si>
  <si>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</si>
  <si>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</si>
  <si>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</si>
  <si>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</si>
  <si>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</si>
  <si>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</si>
  <si>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</si>
  <si>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</si>
  <si>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</si>
  <si>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</si>
  <si>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</si>
  <si>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</si>
  <si>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</si>
  <si>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</si>
  <si>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</si>
  <si>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</si>
  <si>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</si>
  <si>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</si>
  <si>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</si>
  <si>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</si>
  <si>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</si>
  <si>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</si>
  <si>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</si>
  <si>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</si>
  <si>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</si>
  <si>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</si>
  <si>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</si>
  <si>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</si>
  <si>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</si>
  <si>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</si>
  <si>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</si>
  <si>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</si>
  <si>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</si>
  <si>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</si>
  <si>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</si>
  <si>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</si>
  <si>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</si>
  <si>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</si>
  <si>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</si>
  <si>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</si>
  <si>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</si>
  <si>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</si>
  <si>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</si>
  <si>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</si>
  <si>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</si>
  <si>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</si>
  <si>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</si>
  <si>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</si>
  <si>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</si>
  <si>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</si>
  <si>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</si>
  <si>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</si>
  <si>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</si>
  <si>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</si>
  <si>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</si>
  <si>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</si>
  <si>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</si>
  <si>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</si>
  <si>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</si>
  <si>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</si>
  <si>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</si>
  <si>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</si>
  <si>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</si>
  <si>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</si>
  <si>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</si>
  <si>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</si>
  <si>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</si>
  <si>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</si>
  <si>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</si>
  <si>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</si>
  <si>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</si>
  <si>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</si>
  <si>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</si>
  <si>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</si>
  <si>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</si>
  <si>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</si>
  <si>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</si>
  <si>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</si>
  <si>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</si>
  <si>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</si>
  <si>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</si>
  <si>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</si>
  <si>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</si>
  <si>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</si>
  <si>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</si>
  <si>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</si>
  <si>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</si>
  <si>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</si>
  <si>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</si>
  <si>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</si>
  <si>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</si>
  <si>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</si>
  <si>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</si>
  <si>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</si>
  <si>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</si>
  <si>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</si>
  <si>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</si>
  <si>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</si>
  <si>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</si>
  <si>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</si>
  <si>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</si>
  <si>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</si>
  <si>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</si>
  <si>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</si>
  <si>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</si>
  <si>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</si>
  <si>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</si>
  <si>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</si>
  <si>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</si>
  <si>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</si>
  <si>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</si>
  <si>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</si>
  <si>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</si>
  <si>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</si>
  <si>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</si>
  <si>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</si>
  <si>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</si>
  <si>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</si>
  <si>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</si>
  <si>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</si>
  <si>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</si>
  <si>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</si>
  <si>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</si>
  <si>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</si>
  <si>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</si>
  <si>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</si>
  <si>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</si>
  <si>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</si>
  <si>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</si>
  <si>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</si>
  <si>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</si>
  <si>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</si>
  <si>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</si>
  <si>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</si>
  <si>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</si>
  <si>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</si>
  <si>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</si>
  <si>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</si>
  <si>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</si>
  <si>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</si>
  <si>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</si>
  <si>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</si>
  <si>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</si>
  <si>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</si>
  <si>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</si>
  <si>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</si>
  <si>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</si>
  <si>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</si>
  <si>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</si>
  <si>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</si>
  <si>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</si>
  <si>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</si>
  <si>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</si>
  <si>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</si>
  <si>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Efekt jednorazowej spłaty kredytów</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</si>
  <si>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</si>
  <si>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</si>
  <si>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</si>
  <si>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</si>
  <si>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</si>
  <si>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</si>
  <si>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</si>
  <si>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</si>
  <si>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</si>
  <si>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</si>
  <si>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</si>
  <si>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</si>
  <si>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</si>
  <si>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</si>
  <si>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</si>
  <si>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</si>
  <si>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</si>
  <si>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</si>
  <si>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</si>
  <si>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</si>
  <si>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</si>
  <si>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</si>
  <si>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</si>
  <si>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</si>
  <si>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</si>
  <si>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</si>
  <si>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</si>
  <si>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</si>
  <si>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</si>
  <si>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</si>
  <si>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</si>
  <si>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</si>
  <si>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</si>
  <si>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</si>
  <si>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</si>
  <si>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</si>
  <si>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</si>
  <si>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</si>
  <si>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</si>
  <si>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</si>
  <si>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</si>
  <si>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</si>
  <si>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</si>
  <si>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</si>
  <si>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</si>
  <si>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</si>
  <si>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</si>
  <si>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</si>
  <si>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</si>
  <si>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</si>
  <si>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</si>
  <si>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</si>
  <si>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</si>
  <si>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</si>
  <si>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</si>
  <si>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</si>
  <si>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</si>
  <si>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</si>
  <si>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</si>
  <si>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</si>
  <si>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</si>
  <si>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</si>
  <si>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</si>
  <si>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</si>
  <si>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</si>
  <si>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</si>
  <si>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</si>
  <si>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</si>
  <si>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</si>
  <si>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</si>
  <si>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</si>
  <si>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</si>
  <si>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</si>
  <si>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</si>
  <si>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</si>
  <si>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</si>
  <si>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</si>
  <si>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</si>
  <si>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</si>
  <si>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</si>
  <si>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</si>
  <si>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</si>
  <si>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</si>
  <si>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</si>
  <si>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</si>
  <si>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</si>
  <si>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</si>
  <si>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</si>
  <si>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</si>
  <si>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</si>
  <si>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</si>
  <si>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</si>
  <si>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</si>
  <si>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</si>
  <si>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</si>
  <si>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</si>
  <si>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</si>
  <si>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</si>
  <si>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</si>
  <si>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</si>
  <si>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</si>
  <si>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</si>
  <si>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</si>
  <si>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</si>
  <si>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</si>
  <si>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</si>
  <si>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</si>
  <si>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</si>
  <si>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</si>
  <si>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</si>
  <si>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</si>
  <si>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</si>
  <si>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</si>
  <si>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</si>
  <si>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</si>
  <si>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</si>
  <si>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</si>
  <si>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</si>
  <si>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</si>
  <si>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</si>
  <si>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</si>
  <si>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</si>
  <si>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</si>
  <si>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</si>
  <si>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</si>
  <si>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</si>
  <si>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</si>
  <si>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</si>
  <si>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</si>
  <si>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</si>
  <si>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</si>
  <si>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</si>
  <si>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</si>
  <si>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</si>
  <si>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</si>
  <si>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</si>
  <si>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</si>
  <si>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</si>
  <si>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</si>
  <si>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</si>
  <si>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</si>
  <si>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</si>
  <si>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</si>
  <si>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</si>
  <si>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</si>
  <si>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</si>
  <si>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</si>
  <si>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</si>
  <si>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</si>
  <si>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</si>
  <si>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</si>
  <si>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</si>
  <si>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</si>
  <si>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</si>
  <si>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</si>
  <si>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</si>
  <si>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</si>
  <si>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</si>
  <si>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</si>
  <si>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</si>
  <si>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</si>
  <si>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</si>
  <si>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</si>
  <si>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</si>
  <si>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</si>
  <si>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</si>
  <si>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</si>
  <si>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</si>
  <si>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</si>
  <si>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</si>
  <si>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</si>
  <si>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</si>
  <si>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</si>
  <si>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</si>
  <si>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</si>
  <si>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</si>
  <si>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</si>
  <si>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</si>
  <si>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</si>
  <si>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</si>
  <si>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</si>
  <si>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</si>
  <si>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</si>
  <si>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</si>
  <si>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</si>
  <si>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</si>
  <si>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</si>
  <si>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</si>
  <si>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</si>
  <si>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</si>
  <si>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</si>
  <si>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</si>
  <si>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</si>
  <si>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</si>
  <si>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</si>
  <si>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</si>
  <si>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</si>
  <si>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</si>
  <si>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</si>
  <si>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</si>
  <si>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</si>
  <si>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</si>
  <si>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</si>
  <si>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</si>
  <si>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</si>
  <si>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</si>
  <si>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</si>
  <si>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</si>
  <si>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</si>
  <si>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</si>
  <si>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</si>
  <si>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</si>
  <si>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</si>
  <si>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</si>
  <si>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</si>
  <si>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</si>
  <si>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</si>
  <si>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</si>
  <si>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</si>
  <si>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</si>
  <si>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</si>
  <si>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</si>
  <si>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</si>
  <si>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</si>
  <si>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</si>
  <si>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</si>
  <si>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</si>
  <si>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</si>
  <si>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</si>
  <si>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</si>
  <si>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</si>
  <si>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</si>
  <si>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</si>
  <si>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</si>
  <si>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</si>
  <si>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</si>
  <si>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</si>
  <si>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</si>
  <si>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</si>
  <si>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</si>
  <si>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</si>
  <si>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</si>
  <si>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</si>
  <si>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</si>
  <si>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</si>
  <si>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</si>
  <si>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</si>
  <si>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</si>
  <si>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</si>
  <si>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</si>
  <si>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</si>
  <si>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</si>
  <si>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</si>
  <si>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</si>
  <si>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</si>
  <si>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</si>
  <si>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</si>
  <si>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</si>
  <si>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</si>
  <si>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</si>
  <si>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</si>
  <si>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</si>
  <si>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</si>
  <si>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</si>
  <si>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</si>
  <si>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</si>
  <si>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</si>
  <si>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</si>
  <si>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</si>
  <si>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</si>
  <si>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</si>
  <si>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</si>
  <si>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</si>
  <si>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</si>
  <si>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</si>
  <si>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</si>
  <si>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</si>
  <si>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</si>
  <si>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</si>
  <si>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</si>
  <si>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</si>
  <si>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</si>
  <si>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</si>
  <si>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</si>
  <si>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</si>
  <si>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</si>
  <si>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</si>
  <si>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</si>
  <si>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</si>
  <si>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</si>
  <si>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</si>
  <si>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</si>
  <si>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</si>
  <si>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</si>
  <si>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</si>
  <si>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</si>
  <si>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</si>
  <si>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</si>
  <si>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</si>
  <si>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</si>
  <si>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</si>
  <si>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</si>
  <si>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</si>
  <si>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</si>
  <si>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</si>
  <si>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</si>
  <si>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</si>
  <si>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</si>
  <si>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</si>
  <si>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</si>
  <si>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</si>
  <si>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</si>
  <si>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</si>
  <si>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</si>
  <si>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</si>
  <si>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</si>
  <si>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</si>
  <si>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</si>
  <si>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</si>
  <si>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</si>
  <si>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</si>
  <si>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</si>
  <si>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</si>
  <si>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</si>
  <si>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</si>
  <si>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</si>
  <si>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</si>
  <si>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</si>
  <si>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</si>
  <si>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</si>
  <si>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</si>
  <si>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</si>
  <si>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</si>
  <si>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</si>
  <si>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</si>
  <si>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</si>
  <si>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</si>
  <si>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</si>
  <si>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</si>
  <si>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</si>
  <si>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</si>
  <si>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</si>
  <si>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</si>
  <si>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</si>
  <si>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</si>
  <si>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</si>
  <si>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</si>
  <si>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</si>
  <si>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</si>
  <si>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</si>
  <si>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</si>
  <si>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</si>
  <si>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</si>
  <si>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</si>
  <si>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</si>
  <si>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</si>
  <si>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</si>
  <si>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</si>
  <si>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</si>
  <si>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</si>
  <si>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</si>
  <si>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</si>
  <si>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</si>
  <si>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</si>
  <si>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</si>
  <si>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</si>
  <si>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</si>
  <si>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</si>
  <si>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</si>
  <si>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</si>
  <si>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</si>
  <si>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</si>
  <si>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</si>
  <si>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</si>
  <si>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</si>
  <si>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</si>
  <si>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</si>
  <si>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</si>
  <si>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Biomasa</t>
  </si>
  <si>
    <t>Biomass</t>
  </si>
  <si>
    <t>Fotowoltaika</t>
  </si>
  <si>
    <t>Photovoltaics</t>
  </si>
  <si>
    <t>Farmy wiatrowe na lądzie</t>
  </si>
  <si>
    <t>Wind farms onshore</t>
  </si>
  <si>
    <t>Average selling price of energy produced [PLN/MWh]</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</si>
  <si>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</si>
  <si>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</si>
  <si>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</si>
  <si>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</si>
  <si>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</si>
  <si>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</si>
  <si>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</si>
  <si>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</si>
  <si>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</si>
  <si>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</si>
  <si>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</si>
  <si>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</si>
  <si>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</si>
  <si>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</si>
  <si>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</si>
  <si>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</si>
  <si>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</si>
  <si>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</si>
  <si>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</si>
  <si>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</si>
  <si>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</si>
  <si>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</si>
  <si>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</si>
  <si>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</si>
  <si>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</si>
  <si>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</si>
  <si>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</si>
  <si>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</si>
  <si>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</si>
  <si>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</si>
  <si>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</si>
  <si>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</si>
  <si>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</si>
  <si>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</si>
  <si>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</si>
  <si>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</si>
  <si>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</si>
  <si>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</si>
  <si>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</si>
  <si>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</si>
  <si>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</si>
  <si>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</si>
  <si>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</si>
  <si>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</si>
  <si>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</si>
  <si>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Zysk netto przypadający na akcjonariuszy niekontrolujących</t>
  </si>
  <si>
    <r>
      <t>Zyski/(straty) z działalności inwestycyjnej, netto</t>
    </r>
    <r>
      <rPr>
        <vertAlign val="superscript"/>
        <sz val="10"/>
        <color indexed="8"/>
        <rFont val="Calibri"/>
        <family val="2"/>
        <charset val="238"/>
      </rPr>
      <t xml:space="preserve"> </t>
    </r>
  </si>
  <si>
    <t>Rzeczowe aktywa trwałe</t>
  </si>
  <si>
    <t>Przychody z tytułu dywidend</t>
  </si>
  <si>
    <t>Zysk ze sprzedaży IP</t>
  </si>
  <si>
    <r>
      <t xml:space="preserve">Q2'24
</t>
    </r>
    <r>
      <rPr>
        <i/>
        <sz val="10"/>
        <color theme="0"/>
        <rFont val="Calibri"/>
        <family val="2"/>
        <charset val="238"/>
      </rPr>
      <t>(dane wg MSSF 16)</t>
    </r>
  </si>
  <si>
    <r>
      <t xml:space="preserve">Q2'24
</t>
    </r>
    <r>
      <rPr>
        <i/>
        <sz val="10"/>
        <color theme="0"/>
        <rFont val="Calibri"/>
        <family val="2"/>
        <charset val="238"/>
      </rPr>
      <t>(IFRS 16 basis)</t>
    </r>
  </si>
  <si>
    <r>
      <t xml:space="preserve">Q3 </t>
    </r>
    <r>
      <rPr>
        <b/>
        <vertAlign val="superscript"/>
        <sz val="11"/>
        <color theme="0"/>
        <rFont val="Calibri"/>
        <family val="2"/>
        <charset val="238"/>
        <scheme val="minor"/>
      </rPr>
      <t>1)</t>
    </r>
  </si>
  <si>
    <t>1) Konolidacja segmentu Zielona Energia od 3 lipca 2023 roku.</t>
  </si>
  <si>
    <t>Total electricity generation [GWh], of which:</t>
  </si>
  <si>
    <t>Produkcja całkowita energii elektrycznej [GWh], z czego:</t>
  </si>
  <si>
    <r>
      <t>Średnia cena sprzedaży wyprodukowanej energii [PLN/MWh]</t>
    </r>
    <r>
      <rPr>
        <b/>
        <vertAlign val="superscript"/>
        <sz val="11"/>
        <color theme="1"/>
        <rFont val="Calibri"/>
        <family val="2"/>
        <charset val="238"/>
        <scheme val="minor"/>
      </rPr>
      <t>2)</t>
    </r>
  </si>
  <si>
    <t>2) Liczona jako iloraz wygenerowanych przez segment zielonej energii przychodów ze sprzedaży energii elektrycznej własnej i wolumenu produkcji</t>
  </si>
  <si>
    <t>1) Condolidation of the Green Energy segment as of 3 July 2023</t>
  </si>
  <si>
    <t>2) Calculated as the ratio of revenue generated by the green energy segment from the sale of own electricity and the volume of production</t>
  </si>
  <si>
    <t>Zysk/(strata) netto przypadający na akcjonariuszy Jednostki Dominującej</t>
  </si>
  <si>
    <t>Zmiana wartości udziałów w Asseco Poland S.A.</t>
  </si>
  <si>
    <t>Otrzymane dywidendy</t>
  </si>
  <si>
    <t>Dividends received</t>
  </si>
  <si>
    <t>Change in value of Asseco Poland S.A. shares</t>
  </si>
  <si>
    <t>Gain on disposal of IP</t>
  </si>
  <si>
    <t>Dividend income</t>
  </si>
  <si>
    <t>One-time loans repayment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</si>
</sst>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2">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 numFmtId="222" formatCode="#,##0;\(#,##0\);\-"/>
  </numFmts>
  <fonts count="24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name val="Calibri"/>
      <family val="2"/>
      <charset val="238"/>
    </font>
    <font>
      <b/>
      <i/>
      <sz val="10"/>
      <color theme="1"/>
      <name val="Calibri"/>
      <family val="2"/>
      <charset val="238"/>
    </font>
    <font>
      <b/>
      <sz val="14"/>
      <color theme="0"/>
      <name val="Calibri"/>
      <family val="2"/>
      <charset val="238"/>
    </font>
    <font>
      <b/>
      <sz val="9"/>
      <color rgb="FF000000"/>
      <name val="Arial"/>
      <family val="2"/>
      <charset val="238"/>
    </font>
    <font>
      <b/>
      <sz val="11"/>
      <color rgb="FFFF0000"/>
      <name val="Calibri"/>
      <family val="2"/>
      <charset val="238"/>
      <scheme val="minor"/>
    </font>
    <font>
      <sz val="8"/>
      <color theme="1"/>
      <name val="Times New Roman"/>
      <family val="1"/>
      <charset val="238"/>
    </font>
    <font>
      <sz val="11"/>
      <color theme="0" tint="-0.34998626667073579"/>
      <name val="Calibri"/>
      <family val="2"/>
      <charset val="238"/>
      <scheme val="minor"/>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style="thin">
        <color rgb="FF03ACE5"/>
      </left>
      <right/>
      <top style="thin">
        <color theme="0"/>
      </top>
      <bottom style="thin">
        <color theme="0"/>
      </bottom>
      <diagonal/>
    </border>
    <border>
      <left style="thin">
        <color rgb="FF03ACE5"/>
      </left>
      <right/>
      <top style="thin">
        <color theme="0"/>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right style="thin">
        <color rgb="FF03ACE5"/>
      </right>
      <top style="thin">
        <color theme="0"/>
      </top>
      <bottom style="thin">
        <color theme="0"/>
      </bottom>
      <diagonal/>
    </border>
  </borders>
  <cellStyleXfs count="42857">
    <xf numFmtId="0" fontId="0" fillId="0" borderId="0"/>
    <xf numFmtId="166" fontId="9" fillId="0" borderId="0" applyFont="0" applyFill="0" applyBorder="0" applyAlignment="0" applyProtection="0"/>
    <xf numFmtId="9" fontId="7" fillId="0" borderId="0" applyFont="0" applyFill="0" applyBorder="0" applyAlignment="0" applyProtection="0"/>
    <xf numFmtId="178" fontId="13" fillId="0" borderId="0"/>
    <xf numFmtId="178" fontId="13" fillId="0" borderId="0"/>
    <xf numFmtId="178" fontId="13" fillId="0" borderId="0"/>
    <xf numFmtId="9" fontId="13" fillId="0" borderId="0" applyFont="0" applyFill="0" applyBorder="0" applyAlignment="0" applyProtection="0"/>
    <xf numFmtId="9" fontId="13" fillId="0" borderId="0" applyFont="0" applyFill="0" applyBorder="0" applyAlignment="0" applyProtection="0"/>
    <xf numFmtId="166" fontId="7" fillId="0" borderId="0" applyFont="0" applyFill="0" applyBorder="0" applyAlignment="0" applyProtection="0"/>
    <xf numFmtId="0" fontId="65" fillId="0" borderId="0"/>
    <xf numFmtId="164" fontId="65" fillId="0" borderId="0" applyFont="0" applyFill="0" applyBorder="0" applyAlignment="0" applyProtection="0"/>
    <xf numFmtId="187" fontId="13" fillId="0" borderId="0"/>
    <xf numFmtId="0" fontId="66" fillId="0" borderId="0"/>
    <xf numFmtId="0" fontId="66" fillId="0" borderId="0"/>
    <xf numFmtId="0" fontId="66" fillId="0" borderId="0"/>
    <xf numFmtId="187" fontId="13" fillId="0" borderId="0"/>
    <xf numFmtId="0" fontId="6" fillId="0" borderId="0"/>
    <xf numFmtId="164" fontId="6" fillId="0" borderId="0" applyFont="0" applyFill="0" applyBorder="0" applyAlignment="0" applyProtection="0"/>
    <xf numFmtId="0" fontId="68" fillId="0" borderId="0"/>
    <xf numFmtId="0" fontId="6" fillId="0" borderId="0"/>
    <xf numFmtId="0" fontId="13" fillId="0" borderId="0"/>
    <xf numFmtId="0" fontId="69" fillId="0" borderId="0"/>
    <xf numFmtId="0" fontId="70" fillId="0" borderId="0"/>
    <xf numFmtId="168" fontId="71" fillId="0" borderId="0"/>
    <xf numFmtId="189" fontId="72" fillId="0" borderId="0" applyFont="0" applyFill="0" applyBorder="0" applyAlignment="0" applyProtection="0"/>
    <xf numFmtId="0" fontId="73" fillId="0" borderId="0">
      <alignment vertical="center"/>
    </xf>
    <xf numFmtId="1" fontId="71" fillId="0" borderId="0"/>
    <xf numFmtId="167" fontId="74" fillId="0" borderId="0"/>
    <xf numFmtId="2" fontId="71" fillId="0" borderId="0"/>
    <xf numFmtId="1" fontId="74" fillId="0" borderId="0"/>
    <xf numFmtId="1" fontId="75" fillId="0" borderId="0"/>
    <xf numFmtId="1" fontId="75" fillId="0" borderId="0"/>
    <xf numFmtId="1" fontId="75" fillId="0" borderId="0"/>
    <xf numFmtId="1" fontId="75" fillId="0" borderId="0"/>
    <xf numFmtId="190" fontId="76" fillId="0" borderId="0" applyFont="0" applyFill="0" applyBorder="0" applyAlignment="0" applyProtection="0"/>
    <xf numFmtId="38" fontId="77" fillId="0" borderId="0" applyFont="0" applyFill="0" applyBorder="0" applyAlignment="0" applyProtection="0"/>
    <xf numFmtId="0" fontId="78" fillId="35" borderId="0" applyNumberFormat="0" applyBorder="0" applyAlignment="0" applyProtection="0"/>
    <xf numFmtId="0" fontId="78" fillId="36" borderId="0" applyNumberFormat="0" applyBorder="0" applyAlignment="0" applyProtection="0"/>
    <xf numFmtId="0" fontId="78" fillId="37" borderId="0" applyNumberFormat="0" applyBorder="0" applyAlignment="0" applyProtection="0"/>
    <xf numFmtId="0" fontId="78" fillId="38" borderId="0" applyNumberFormat="0" applyBorder="0" applyAlignment="0" applyProtection="0"/>
    <xf numFmtId="0" fontId="78" fillId="39"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9" fillId="40"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187"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12" borderId="0" applyNumberFormat="0" applyBorder="0" applyAlignment="0" applyProtection="0"/>
    <xf numFmtId="0" fontId="79" fillId="40"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87" fontId="79"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87"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187"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16" borderId="0" applyNumberFormat="0" applyBorder="0" applyAlignment="0" applyProtection="0"/>
    <xf numFmtId="0" fontId="79" fillId="4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87" fontId="79" fillId="42"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87"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187"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13" fillId="20" borderId="0" applyNumberFormat="0" applyBorder="0" applyAlignment="0" applyProtection="0"/>
    <xf numFmtId="0" fontId="79" fillId="4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87" fontId="79" fillId="40"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87"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187"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13" fillId="24" borderId="0" applyNumberFormat="0" applyBorder="0" applyAlignment="0" applyProtection="0"/>
    <xf numFmtId="0" fontId="79" fillId="4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87" fontId="79"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87"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87"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13" fillId="28" borderId="0" applyNumberFormat="0" applyBorder="0" applyAlignment="0" applyProtection="0"/>
    <xf numFmtId="0" fontId="79" fillId="3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7" fontId="79"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87"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87"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2" borderId="0" applyNumberFormat="0" applyBorder="0" applyAlignment="0" applyProtection="0"/>
    <xf numFmtId="0" fontId="79"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87" fontId="79" fillId="4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87"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187"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13" borderId="0" applyNumberFormat="0" applyBorder="0" applyAlignment="0" applyProtection="0"/>
    <xf numFmtId="0" fontId="79" fillId="4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187"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187"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187"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13" fillId="17" borderId="0" applyNumberFormat="0" applyBorder="0" applyAlignment="0" applyProtection="0"/>
    <xf numFmtId="0" fontId="79" fillId="45"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87" fontId="79" fillId="46"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87"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187"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13" fillId="21" borderId="0" applyNumberFormat="0" applyBorder="0" applyAlignment="0" applyProtection="0"/>
    <xf numFmtId="0" fontId="79" fillId="4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187" fontId="79" fillId="43"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187"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87"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13" fillId="25" borderId="0" applyNumberFormat="0" applyBorder="0" applyAlignment="0" applyProtection="0"/>
    <xf numFmtId="0" fontId="79" fillId="43"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187" fontId="79"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187"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87"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79" fillId="44" borderId="0" applyNumberFormat="0" applyBorder="0" applyAlignment="0" applyProtection="0"/>
    <xf numFmtId="0" fontId="13" fillId="29" borderId="0" applyNumberFormat="0" applyBorder="0" applyAlignment="0" applyProtection="0"/>
    <xf numFmtId="0" fontId="79" fillId="44"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187" fontId="79" fillId="41"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187"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13" fillId="33" borderId="0" applyNumberFormat="0" applyBorder="0" applyAlignment="0" applyProtection="0"/>
    <xf numFmtId="0" fontId="79" fillId="4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64" fillId="14"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80" fillId="14"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187" fontId="7" fillId="49" borderId="0" applyNumberFormat="0" applyBorder="0" applyAlignment="0" applyProtection="0"/>
    <xf numFmtId="0" fontId="79" fillId="5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4"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4" borderId="0" applyNumberFormat="0" applyBorder="0" applyAlignment="0" applyProtection="0"/>
    <xf numFmtId="0" fontId="7" fillId="49" borderId="0" applyNumberFormat="0" applyBorder="0" applyAlignment="0" applyProtection="0"/>
    <xf numFmtId="0" fontId="64"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187"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64"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0" fillId="18"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187" fontId="7" fillId="45" borderId="0" applyNumberFormat="0" applyBorder="0" applyAlignment="0" applyProtection="0"/>
    <xf numFmtId="0" fontId="79"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80" fillId="18" borderId="0" applyNumberFormat="0" applyBorder="0" applyAlignment="0" applyProtection="0"/>
    <xf numFmtId="0" fontId="7" fillId="45" borderId="0" applyNumberFormat="0" applyBorder="0" applyAlignment="0" applyProtection="0"/>
    <xf numFmtId="187"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80" fillId="18" borderId="0" applyNumberFormat="0" applyBorder="0" applyAlignment="0" applyProtection="0"/>
    <xf numFmtId="0" fontId="7" fillId="45" borderId="0" applyNumberFormat="0" applyBorder="0" applyAlignment="0" applyProtection="0"/>
    <xf numFmtId="0" fontId="64"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187"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64" fillId="22"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0" fillId="22"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187" fontId="7" fillId="46" borderId="0" applyNumberFormat="0" applyBorder="0" applyAlignment="0" applyProtection="0"/>
    <xf numFmtId="0" fontId="79" fillId="47"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80" fillId="22" borderId="0" applyNumberFormat="0" applyBorder="0" applyAlignment="0" applyProtection="0"/>
    <xf numFmtId="0" fontId="7" fillId="46" borderId="0" applyNumberFormat="0" applyBorder="0" applyAlignment="0" applyProtection="0"/>
    <xf numFmtId="187"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80" fillId="22" borderId="0" applyNumberFormat="0" applyBorder="0" applyAlignment="0" applyProtection="0"/>
    <xf numFmtId="0" fontId="7" fillId="46" borderId="0" applyNumberFormat="0" applyBorder="0" applyAlignment="0" applyProtection="0"/>
    <xf numFmtId="0" fontId="64"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187"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64" fillId="2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0" fillId="2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187" fontId="7" fillId="43" borderId="0" applyNumberFormat="0" applyBorder="0" applyAlignment="0" applyProtection="0"/>
    <xf numFmtId="0" fontId="79" fillId="51"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80" fillId="26" borderId="0" applyNumberFormat="0" applyBorder="0" applyAlignment="0" applyProtection="0"/>
    <xf numFmtId="0" fontId="7" fillId="43" borderId="0" applyNumberFormat="0" applyBorder="0" applyAlignment="0" applyProtection="0"/>
    <xf numFmtId="187"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80" fillId="26" borderId="0" applyNumberFormat="0" applyBorder="0" applyAlignment="0" applyProtection="0"/>
    <xf numFmtId="0" fontId="7" fillId="43" borderId="0" applyNumberFormat="0" applyBorder="0" applyAlignment="0" applyProtection="0"/>
    <xf numFmtId="0" fontId="64"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64" fillId="30"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80" fillId="30"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30"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30" borderId="0" applyNumberFormat="0" applyBorder="0" applyAlignment="0" applyProtection="0"/>
    <xf numFmtId="0" fontId="7" fillId="49" borderId="0" applyNumberFormat="0" applyBorder="0" applyAlignment="0" applyProtection="0"/>
    <xf numFmtId="0" fontId="64"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187"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64" fillId="3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80" fillId="3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187" fontId="7" fillId="41" borderId="0" applyNumberFormat="0" applyBorder="0" applyAlignment="0" applyProtection="0"/>
    <xf numFmtId="0" fontId="79" fillId="5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80" fillId="34" borderId="0" applyNumberFormat="0" applyBorder="0" applyAlignment="0" applyProtection="0"/>
    <xf numFmtId="0" fontId="7" fillId="41" borderId="0" applyNumberFormat="0" applyBorder="0" applyAlignment="0" applyProtection="0"/>
    <xf numFmtId="187"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80" fillId="34" borderId="0" applyNumberFormat="0" applyBorder="0" applyAlignment="0" applyProtection="0"/>
    <xf numFmtId="0" fontId="7" fillId="41" borderId="0" applyNumberFormat="0" applyBorder="0" applyAlignment="0" applyProtection="0"/>
    <xf numFmtId="0" fontId="64"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1" fillId="53" borderId="0">
      <alignment horizontal="left" vertical="top"/>
    </xf>
    <xf numFmtId="191" fontId="77" fillId="0" borderId="0" applyFont="0" applyFill="0" applyBorder="0" applyAlignment="0" applyProtection="0"/>
    <xf numFmtId="187"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64" fillId="11"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80" fillId="11"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187" fontId="7" fillId="49" borderId="0" applyNumberFormat="0" applyBorder="0" applyAlignment="0" applyProtection="0"/>
    <xf numFmtId="0" fontId="79" fillId="54"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1"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11" borderId="0" applyNumberFormat="0" applyBorder="0" applyAlignment="0" applyProtection="0"/>
    <xf numFmtId="0" fontId="7" fillId="49" borderId="0" applyNumberFormat="0" applyBorder="0" applyAlignment="0" applyProtection="0"/>
    <xf numFmtId="0" fontId="64"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187"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64" fillId="1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80" fillId="15"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187" fontId="7" fillId="47" borderId="0" applyNumberFormat="0" applyBorder="0" applyAlignment="0" applyProtection="0"/>
    <xf numFmtId="0" fontId="79"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80" fillId="15" borderId="0" applyNumberFormat="0" applyBorder="0" applyAlignment="0" applyProtection="0"/>
    <xf numFmtId="0" fontId="7" fillId="47" borderId="0" applyNumberFormat="0" applyBorder="0" applyAlignment="0" applyProtection="0"/>
    <xf numFmtId="187"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80" fillId="15" borderId="0" applyNumberFormat="0" applyBorder="0" applyAlignment="0" applyProtection="0"/>
    <xf numFmtId="0" fontId="7" fillId="47" borderId="0" applyNumberFormat="0" applyBorder="0" applyAlignment="0" applyProtection="0"/>
    <xf numFmtId="0" fontId="64"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187"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64" fillId="19"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80" fillId="19"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187" fontId="7" fillId="55" borderId="0" applyNumberFormat="0" applyBorder="0" applyAlignment="0" applyProtection="0"/>
    <xf numFmtId="0" fontId="79"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0" fillId="19" borderId="0" applyNumberFormat="0" applyBorder="0" applyAlignment="0" applyProtection="0"/>
    <xf numFmtId="0" fontId="7" fillId="55" borderId="0" applyNumberFormat="0" applyBorder="0" applyAlignment="0" applyProtection="0"/>
    <xf numFmtId="187"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7" fillId="55" borderId="0" applyNumberFormat="0" applyBorder="0" applyAlignment="0" applyProtection="0"/>
    <xf numFmtId="0" fontId="80" fillId="19" borderId="0" applyNumberFormat="0" applyBorder="0" applyAlignment="0" applyProtection="0"/>
    <xf numFmtId="0" fontId="7" fillId="55" borderId="0" applyNumberFormat="0" applyBorder="0" applyAlignment="0" applyProtection="0"/>
    <xf numFmtId="0" fontId="64"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187"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64" fillId="2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0" fillId="23"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187" fontId="7" fillId="56" borderId="0" applyNumberFormat="0" applyBorder="0" applyAlignment="0" applyProtection="0"/>
    <xf numFmtId="0" fontId="79" fillId="51"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80" fillId="23" borderId="0" applyNumberFormat="0" applyBorder="0" applyAlignment="0" applyProtection="0"/>
    <xf numFmtId="0" fontId="7" fillId="56" borderId="0" applyNumberFormat="0" applyBorder="0" applyAlignment="0" applyProtection="0"/>
    <xf numFmtId="187"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7" fillId="56" borderId="0" applyNumberFormat="0" applyBorder="0" applyAlignment="0" applyProtection="0"/>
    <xf numFmtId="0" fontId="80" fillId="23" borderId="0" applyNumberFormat="0" applyBorder="0" applyAlignment="0" applyProtection="0"/>
    <xf numFmtId="0" fontId="7" fillId="56" borderId="0" applyNumberFormat="0" applyBorder="0" applyAlignment="0" applyProtection="0"/>
    <xf numFmtId="0" fontId="64" fillId="23"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64" fillId="27"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80" fillId="27"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87" fontId="7" fillId="49" borderId="0" applyNumberFormat="0" applyBorder="0" applyAlignment="0" applyProtection="0"/>
    <xf numFmtId="0" fontId="79"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27" borderId="0" applyNumberFormat="0" applyBorder="0" applyAlignment="0" applyProtection="0"/>
    <xf numFmtId="0" fontId="7" fillId="49" borderId="0" applyNumberFormat="0" applyBorder="0" applyAlignment="0" applyProtection="0"/>
    <xf numFmtId="187"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80" fillId="27" borderId="0" applyNumberFormat="0" applyBorder="0" applyAlignment="0" applyProtection="0"/>
    <xf numFmtId="0" fontId="7" fillId="49" borderId="0" applyNumberFormat="0" applyBorder="0" applyAlignment="0" applyProtection="0"/>
    <xf numFmtId="0" fontId="64"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187"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64" fillId="31"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0" fillId="31"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187" fontId="7" fillId="57" borderId="0" applyNumberFormat="0" applyBorder="0" applyAlignment="0" applyProtection="0"/>
    <xf numFmtId="0" fontId="79"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0" fillId="31" borderId="0" applyNumberFormat="0" applyBorder="0" applyAlignment="0" applyProtection="0"/>
    <xf numFmtId="0" fontId="7" fillId="57" borderId="0" applyNumberFormat="0" applyBorder="0" applyAlignment="0" applyProtection="0"/>
    <xf numFmtId="187"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80" fillId="31" borderId="0" applyNumberFormat="0" applyBorder="0" applyAlignment="0" applyProtection="0"/>
    <xf numFmtId="0" fontId="7" fillId="57" borderId="0" applyNumberFormat="0" applyBorder="0" applyAlignment="0" applyProtection="0"/>
    <xf numFmtId="0" fontId="64"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192" fontId="68" fillId="0" borderId="0" applyFill="0" applyBorder="0" applyAlignment="0"/>
    <xf numFmtId="164" fontId="68" fillId="0" borderId="0" applyFont="0" applyFill="0" applyBorder="0" applyAlignment="0" applyProtection="0"/>
    <xf numFmtId="187"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57" fillId="7" borderId="23"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2" fillId="41" borderId="29" applyNumberFormat="0" applyAlignment="0" applyProtection="0"/>
    <xf numFmtId="187" fontId="82" fillId="41" borderId="29" applyNumberFormat="0" applyAlignment="0" applyProtection="0"/>
    <xf numFmtId="0"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187" fontId="82" fillId="41" borderId="29"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2" fillId="41" borderId="29" applyNumberFormat="0" applyAlignment="0" applyProtection="0"/>
    <xf numFmtId="0" fontId="82" fillId="41" borderId="29" applyNumberFormat="0" applyAlignment="0" applyProtection="0"/>
    <xf numFmtId="0" fontId="83" fillId="7" borderId="23" applyNumberFormat="0" applyAlignment="0" applyProtection="0"/>
    <xf numFmtId="0" fontId="7" fillId="0" borderId="0" applyNumberFormat="0" applyFont="0" applyFill="0" applyBorder="0" applyAlignment="0" applyProtection="0"/>
    <xf numFmtId="0" fontId="57" fillId="7" borderId="23" applyNumberFormat="0" applyAlignment="0" applyProtection="0"/>
    <xf numFmtId="0" fontId="83" fillId="7" borderId="23" applyNumberFormat="0" applyAlignment="0" applyProtection="0"/>
    <xf numFmtId="0" fontId="83" fillId="7" borderId="23" applyNumberFormat="0" applyAlignment="0" applyProtection="0"/>
    <xf numFmtId="0" fontId="83" fillId="7" borderId="23" applyNumberFormat="0" applyAlignment="0" applyProtection="0"/>
    <xf numFmtId="187" fontId="84" fillId="40"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58" fillId="8" borderId="24"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40"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40"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5" fillId="8" borderId="24" applyNumberFormat="0" applyAlignment="0" applyProtection="0"/>
    <xf numFmtId="0" fontId="86" fillId="0" borderId="24"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84" fillId="58" borderId="30" applyNumberFormat="0" applyAlignment="0" applyProtection="0"/>
    <xf numFmtId="0" fontId="84" fillId="58" borderId="30" applyNumberFormat="0" applyAlignment="0" applyProtection="0"/>
    <xf numFmtId="0" fontId="84" fillId="58" borderId="30" applyNumberFormat="0" applyAlignment="0" applyProtection="0"/>
    <xf numFmtId="187" fontId="84" fillId="40" borderId="30" applyNumberFormat="0" applyAlignment="0" applyProtection="0"/>
    <xf numFmtId="0" fontId="84" fillId="58"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40" borderId="30" applyNumberFormat="0" applyAlignment="0" applyProtection="0"/>
    <xf numFmtId="0" fontId="84" fillId="40" borderId="30" applyNumberFormat="0" applyAlignment="0" applyProtection="0"/>
    <xf numFmtId="0" fontId="85" fillId="8" borderId="24" applyNumberFormat="0" applyAlignment="0" applyProtection="0"/>
    <xf numFmtId="0" fontId="7" fillId="0" borderId="0" applyNumberFormat="0" applyFont="0" applyFill="0" applyBorder="0" applyAlignment="0" applyProtection="0"/>
    <xf numFmtId="187" fontId="84" fillId="40" borderId="3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4" fillId="40" borderId="30" applyNumberFormat="0" applyAlignment="0" applyProtection="0"/>
    <xf numFmtId="0" fontId="84" fillId="40" borderId="30" applyNumberFormat="0" applyAlignment="0" applyProtection="0"/>
    <xf numFmtId="0" fontId="85" fillId="8" borderId="24" applyNumberFormat="0" applyAlignment="0" applyProtection="0"/>
    <xf numFmtId="0" fontId="7" fillId="0" borderId="0" applyNumberFormat="0" applyFont="0" applyFill="0" applyBorder="0" applyAlignment="0" applyProtection="0"/>
    <xf numFmtId="0" fontId="58" fillId="8" borderId="24" applyNumberFormat="0" applyAlignment="0" applyProtection="0"/>
    <xf numFmtId="0" fontId="85" fillId="8" borderId="24" applyNumberFormat="0" applyAlignment="0" applyProtection="0"/>
    <xf numFmtId="0" fontId="86" fillId="0" borderId="24" applyNumberFormat="0" applyFill="0" applyAlignment="0" applyProtection="0"/>
    <xf numFmtId="0" fontId="86" fillId="0" borderId="24" applyNumberFormat="0" applyFill="0" applyAlignment="0" applyProtection="0"/>
    <xf numFmtId="0" fontId="85" fillId="8" borderId="24" applyNumberFormat="0" applyAlignment="0" applyProtection="0"/>
    <xf numFmtId="0" fontId="86" fillId="0" borderId="24" applyNumberFormat="0" applyFill="0" applyAlignment="0" applyProtection="0"/>
    <xf numFmtId="187"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54" fillId="4"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187" fontId="87" fillId="37" borderId="0" applyNumberFormat="0" applyBorder="0" applyAlignment="0" applyProtection="0"/>
    <xf numFmtId="0"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8" fillId="4" borderId="0" applyNumberFormat="0" applyBorder="0" applyAlignment="0" applyProtection="0"/>
    <xf numFmtId="0" fontId="7" fillId="0" borderId="0" applyNumberFormat="0" applyFont="0" applyFill="0" applyBorder="0" applyAlignment="0" applyProtection="0"/>
    <xf numFmtId="187" fontId="87" fillId="37"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7" fillId="37" borderId="0" applyNumberFormat="0" applyBorder="0" applyAlignment="0" applyProtection="0"/>
    <xf numFmtId="0" fontId="87" fillId="37" borderId="0" applyNumberFormat="0" applyBorder="0" applyAlignment="0" applyProtection="0"/>
    <xf numFmtId="0" fontId="88" fillId="4" borderId="0" applyNumberFormat="0" applyBorder="0" applyAlignment="0" applyProtection="0"/>
    <xf numFmtId="0" fontId="7" fillId="0" borderId="0" applyNumberFormat="0" applyFont="0" applyFill="0" applyBorder="0" applyAlignment="0" applyProtection="0"/>
    <xf numFmtId="0" fontId="54" fillId="4" borderId="0" applyNumberFormat="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4" borderId="0" applyNumberFormat="0" applyBorder="0" applyAlignment="0" applyProtection="0"/>
    <xf numFmtId="0" fontId="88" fillId="0" borderId="0" applyNumberFormat="0" applyFill="0" applyBorder="0" applyAlignment="0" applyProtection="0"/>
    <xf numFmtId="193" fontId="89" fillId="0" borderId="0">
      <alignment horizontal="center"/>
    </xf>
    <xf numFmtId="194" fontId="72" fillId="0" borderId="0" applyFont="0" applyFill="0" applyBorder="0" applyAlignment="0" applyProtection="0"/>
    <xf numFmtId="195" fontId="7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90"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90"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91" fillId="0" borderId="0" applyFont="0" applyFill="0" applyBorder="0" applyAlignment="0" applyProtection="0"/>
    <xf numFmtId="164" fontId="72" fillId="0" borderId="0" applyFont="0" applyFill="0" applyBorder="0" applyAlignment="0" applyProtection="0"/>
    <xf numFmtId="164" fontId="72" fillId="0" borderId="0" applyFont="0" applyFill="0" applyBorder="0" applyAlignment="0" applyProtection="0"/>
    <xf numFmtId="166" fontId="72" fillId="0" borderId="0" applyFont="0" applyFill="0" applyBorder="0" applyAlignment="0" applyProtection="0"/>
    <xf numFmtId="164" fontId="68"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69"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72" fillId="0" borderId="0" applyFont="0" applyFill="0" applyBorder="0" applyAlignment="0" applyProtection="0"/>
    <xf numFmtId="0" fontId="7" fillId="0" borderId="0" applyNumberFormat="0" applyFont="0" applyFill="0" applyBorder="0" applyAlignment="0" applyProtection="0"/>
    <xf numFmtId="164" fontId="6"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4" fontId="44" fillId="0" borderId="0" applyFont="0" applyFill="0" applyBorder="0" applyAlignment="0" applyProtection="0"/>
    <xf numFmtId="164" fontId="1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164" fontId="72" fillId="0" borderId="0" applyFont="0" applyFill="0" applyBorder="0" applyAlignment="0" applyProtection="0"/>
    <xf numFmtId="164" fontId="6" fillId="0" borderId="0" applyFont="0" applyFill="0" applyBorder="0" applyAlignment="0" applyProtection="0"/>
    <xf numFmtId="164" fontId="7" fillId="0" borderId="0" applyFont="0" applyFill="0" applyBorder="0" applyAlignment="0" applyProtection="0"/>
    <xf numFmtId="164" fontId="6" fillId="0" borderId="0" applyFont="0" applyFill="0" applyBorder="0" applyAlignment="0" applyProtection="0"/>
    <xf numFmtId="0" fontId="7" fillId="0" borderId="0" applyNumberFormat="0" applyFont="0" applyFill="0" applyBorder="0" applyAlignment="0" applyProtection="0"/>
    <xf numFmtId="166" fontId="72" fillId="0" borderId="0" applyFont="0" applyFill="0" applyBorder="0" applyAlignment="0" applyProtection="0"/>
    <xf numFmtId="164" fontId="72"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13" fillId="0" borderId="0" applyFont="0" applyFill="0" applyBorder="0" applyAlignment="0" applyProtection="0"/>
    <xf numFmtId="164" fontId="6" fillId="0" borderId="0" applyFont="0" applyFill="0" applyBorder="0" applyAlignment="0" applyProtection="0"/>
    <xf numFmtId="164" fontId="92" fillId="0" borderId="0" applyFont="0" applyFill="0" applyBorder="0" applyAlignment="0" applyProtection="0"/>
    <xf numFmtId="0" fontId="93" fillId="0" borderId="0" applyNumberFormat="0" applyFill="0" applyBorder="0" applyAlignment="0" applyProtection="0"/>
    <xf numFmtId="187" fontId="72" fillId="0" borderId="0" applyFont="0" applyFill="0" applyBorder="0" applyAlignment="0" applyProtection="0"/>
    <xf numFmtId="178" fontId="68" fillId="0" borderId="0" applyFont="0" applyFill="0" applyBorder="0" applyAlignment="0" applyProtection="0"/>
    <xf numFmtId="178" fontId="72" fillId="0" borderId="0" applyFont="0" applyFill="0" applyBorder="0" applyAlignment="0" applyProtection="0"/>
    <xf numFmtId="0" fontId="72" fillId="0" borderId="0" applyFont="0" applyFill="0" applyBorder="0" applyAlignment="0" applyProtection="0"/>
    <xf numFmtId="178" fontId="72"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94" fillId="0" borderId="0" applyNumberFormat="0" applyFill="0" applyBorder="0" applyProtection="0">
      <alignment vertical="top"/>
    </xf>
    <xf numFmtId="3" fontId="95" fillId="59" borderId="0" applyNumberFormat="0" applyFont="0" applyBorder="0" applyAlignment="0">
      <protection hidden="1"/>
    </xf>
    <xf numFmtId="0" fontId="91" fillId="0" borderId="1">
      <alignment horizontal="center"/>
    </xf>
    <xf numFmtId="38" fontId="96" fillId="60" borderId="0" applyNumberFormat="0" applyBorder="0" applyAlignment="0" applyProtection="0"/>
    <xf numFmtId="3" fontId="97" fillId="0" borderId="0"/>
    <xf numFmtId="0" fontId="98" fillId="0" borderId="7" applyNumberFormat="0" applyAlignment="0" applyProtection="0">
      <alignment horizontal="left" vertical="center"/>
    </xf>
    <xf numFmtId="0" fontId="98" fillId="0" borderId="31">
      <alignment horizontal="left" vertical="center"/>
    </xf>
    <xf numFmtId="0" fontId="99" fillId="0" borderId="0"/>
    <xf numFmtId="0" fontId="100" fillId="0" borderId="0"/>
    <xf numFmtId="0" fontId="101" fillId="0" borderId="0"/>
    <xf numFmtId="0" fontId="102" fillId="0" borderId="0"/>
    <xf numFmtId="0" fontId="103" fillId="0" borderId="0"/>
    <xf numFmtId="187" fontId="104" fillId="0" borderId="0" applyNumberFormat="0" applyFill="0" applyBorder="0" applyAlignment="0" applyProtection="0">
      <alignment vertical="top"/>
      <protection locked="0"/>
    </xf>
    <xf numFmtId="196" fontId="105" fillId="0" borderId="0"/>
    <xf numFmtId="0" fontId="106" fillId="0" borderId="0" applyNumberFormat="0" applyFill="0" applyBorder="0" applyAlignment="0" applyProtection="0"/>
    <xf numFmtId="10" fontId="96" fillId="61" borderId="32" applyNumberFormat="0" applyBorder="0" applyAlignment="0" applyProtection="0"/>
    <xf numFmtId="42" fontId="107" fillId="0" borderId="0">
      <alignment horizontal="center"/>
    </xf>
    <xf numFmtId="197" fontId="108" fillId="0" borderId="0" applyFont="0" applyFill="0" applyBorder="0" applyAlignment="0" applyProtection="0"/>
    <xf numFmtId="198" fontId="74" fillId="0" borderId="0"/>
    <xf numFmtId="199" fontId="109" fillId="0" borderId="0"/>
    <xf numFmtId="200" fontId="105" fillId="0" borderId="0"/>
    <xf numFmtId="201" fontId="105" fillId="0" borderId="0"/>
    <xf numFmtId="187"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60" fillId="0" borderId="2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1" fillId="0" borderId="2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187" fontId="110" fillId="0" borderId="33" applyNumberFormat="0" applyFill="0" applyAlignment="0" applyProtection="0"/>
    <xf numFmtId="0"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1" fillId="0" borderId="25" applyNumberFormat="0" applyFill="0" applyAlignment="0" applyProtection="0"/>
    <xf numFmtId="0" fontId="7" fillId="0" borderId="0" applyNumberFormat="0" applyFont="0" applyFill="0" applyBorder="0" applyAlignment="0" applyProtection="0"/>
    <xf numFmtId="187" fontId="110" fillId="0" borderId="33"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0" fillId="0" borderId="33" applyNumberFormat="0" applyFill="0" applyAlignment="0" applyProtection="0"/>
    <xf numFmtId="0" fontId="110" fillId="0" borderId="33" applyNumberFormat="0" applyFill="0" applyAlignment="0" applyProtection="0"/>
    <xf numFmtId="0" fontId="111" fillId="0" borderId="25" applyNumberFormat="0" applyFill="0" applyAlignment="0" applyProtection="0"/>
    <xf numFmtId="0" fontId="7" fillId="0" borderId="0" applyNumberFormat="0" applyFont="0" applyFill="0" applyBorder="0" applyAlignment="0" applyProtection="0"/>
    <xf numFmtId="0" fontId="60" fillId="0" borderId="25" applyNumberFormat="0" applyFill="0" applyAlignment="0" applyProtection="0"/>
    <xf numFmtId="0" fontId="111" fillId="0" borderId="25" applyNumberFormat="0" applyFill="0" applyAlignment="0" applyProtection="0"/>
    <xf numFmtId="0" fontId="111" fillId="0" borderId="25" applyNumberFormat="0" applyFill="0" applyAlignment="0" applyProtection="0"/>
    <xf numFmtId="0" fontId="111" fillId="0" borderId="25" applyNumberFormat="0" applyFill="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61" fillId="9" borderId="26"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4" fillId="9" borderId="26" applyNumberFormat="0" applyAlignment="0" applyProtection="0"/>
    <xf numFmtId="0" fontId="80" fillId="0" borderId="26" applyNumberFormat="0" applyFill="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187" fontId="112" fillId="62" borderId="34" applyNumberFormat="0" applyAlignment="0" applyProtection="0"/>
    <xf numFmtId="187" fontId="112" fillId="62" borderId="34" applyNumberFormat="0" applyAlignment="0" applyProtection="0"/>
    <xf numFmtId="0" fontId="113" fillId="62" borderId="34" applyNumberFormat="0" applyAlignment="0" applyProtection="0"/>
    <xf numFmtId="0" fontId="7" fillId="0" borderId="0" applyNumberFormat="0" applyFont="0" applyFill="0" applyBorder="0" applyAlignment="0" applyProtection="0"/>
    <xf numFmtId="0" fontId="113"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114" fillId="9" borderId="26" applyNumberFormat="0" applyAlignment="0" applyProtection="0"/>
    <xf numFmtId="0" fontId="7" fillId="0" borderId="0" applyNumberFormat="0" applyFont="0" applyFill="0" applyBorder="0" applyAlignment="0" applyProtection="0"/>
    <xf numFmtId="187" fontId="112" fillId="62" borderId="34" applyNumberFormat="0" applyAlignment="0" applyProtection="0"/>
    <xf numFmtId="187" fontId="112" fillId="62" borderId="34"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2" fillId="62" borderId="34" applyNumberFormat="0" applyAlignment="0" applyProtection="0"/>
    <xf numFmtId="0" fontId="112" fillId="62" borderId="34" applyNumberFormat="0" applyAlignment="0" applyProtection="0"/>
    <xf numFmtId="0" fontId="114" fillId="9" borderId="26" applyNumberFormat="0" applyAlignment="0" applyProtection="0"/>
    <xf numFmtId="0" fontId="7" fillId="0" borderId="0" applyNumberFormat="0" applyFont="0" applyFill="0" applyBorder="0" applyAlignment="0" applyProtection="0"/>
    <xf numFmtId="0" fontId="61" fillId="9" borderId="26" applyNumberFormat="0" applyAlignment="0" applyProtection="0"/>
    <xf numFmtId="0" fontId="114" fillId="9" borderId="26" applyNumberFormat="0" applyAlignment="0" applyProtection="0"/>
    <xf numFmtId="0" fontId="80" fillId="0" borderId="26" applyNumberFormat="0" applyFill="0" applyAlignment="0" applyProtection="0"/>
    <xf numFmtId="0" fontId="80" fillId="0" borderId="26" applyNumberFormat="0" applyFill="0" applyAlignment="0" applyProtection="0"/>
    <xf numFmtId="0" fontId="114" fillId="9" borderId="26" applyNumberFormat="0" applyAlignment="0" applyProtection="0"/>
    <xf numFmtId="0" fontId="80" fillId="0" borderId="26" applyNumberFormat="0" applyFill="0" applyAlignment="0" applyProtection="0"/>
    <xf numFmtId="1" fontId="115" fillId="63" borderId="0"/>
    <xf numFmtId="202" fontId="68" fillId="0" borderId="0" applyFont="0" applyFill="0" applyBorder="0" applyAlignment="0" applyProtection="0"/>
    <xf numFmtId="193" fontId="116" fillId="0" borderId="0"/>
    <xf numFmtId="38" fontId="77" fillId="0" borderId="0" applyFont="0" applyFill="0" applyBorder="0" applyAlignment="0" applyProtection="0"/>
    <xf numFmtId="203" fontId="117" fillId="0" borderId="0" applyFont="0" applyFill="0" applyBorder="0" applyAlignment="0" applyProtection="0"/>
    <xf numFmtId="204" fontId="117" fillId="0" borderId="0" applyFont="0" applyFill="0" applyBorder="0" applyAlignment="0" applyProtection="0"/>
    <xf numFmtId="205" fontId="117" fillId="0" borderId="0" applyFont="0" applyFill="0" applyBorder="0" applyAlignment="0" applyProtection="0"/>
    <xf numFmtId="206" fontId="117" fillId="0" borderId="0" applyFont="0" applyFill="0" applyBorder="0" applyAlignment="0" applyProtection="0"/>
    <xf numFmtId="187" fontId="118" fillId="0" borderId="3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51" fillId="0" borderId="2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8" fillId="0" borderId="35" applyNumberFormat="0" applyFill="0" applyAlignment="0" applyProtection="0"/>
    <xf numFmtId="0" fontId="118" fillId="0" borderId="35"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0" fillId="0" borderId="20" applyNumberFormat="0" applyFill="0" applyAlignment="0" applyProtection="0"/>
    <xf numFmtId="0" fontId="121" fillId="0" borderId="2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9" fillId="0" borderId="36" applyNumberFormat="0" applyFill="0" applyAlignment="0" applyProtection="0"/>
    <xf numFmtId="0" fontId="119" fillId="0" borderId="36" applyNumberFormat="0" applyFill="0" applyAlignment="0" applyProtection="0"/>
    <xf numFmtId="187" fontId="118" fillId="0" borderId="35" applyNumberFormat="0" applyFill="0" applyAlignment="0" applyProtection="0"/>
    <xf numFmtId="0" fontId="119" fillId="0" borderId="36" applyNumberFormat="0" applyFill="0" applyAlignment="0" applyProtection="0"/>
    <xf numFmtId="0" fontId="118" fillId="0" borderId="35" applyNumberFormat="0" applyFill="0" applyAlignment="0" applyProtection="0"/>
    <xf numFmtId="0" fontId="118" fillId="0" borderId="35" applyNumberFormat="0" applyFill="0" applyAlignment="0" applyProtection="0"/>
    <xf numFmtId="0" fontId="120" fillId="0" borderId="20" applyNumberFormat="0" applyFill="0" applyAlignment="0" applyProtection="0"/>
    <xf numFmtId="0" fontId="7" fillId="0" borderId="0" applyNumberFormat="0" applyFont="0" applyFill="0" applyBorder="0" applyAlignment="0" applyProtection="0"/>
    <xf numFmtId="187" fontId="118" fillId="0" borderId="35" applyNumberFormat="0" applyFill="0" applyAlignment="0" applyProtection="0"/>
    <xf numFmtId="0" fontId="118" fillId="0" borderId="35" applyNumberFormat="0" applyFill="0" applyAlignment="0" applyProtection="0"/>
    <xf numFmtId="0" fontId="118" fillId="0" borderId="35" applyNumberFormat="0" applyFill="0" applyAlignment="0" applyProtection="0"/>
    <xf numFmtId="0" fontId="120" fillId="0" borderId="20" applyNumberFormat="0" applyFill="0" applyAlignment="0" applyProtection="0"/>
    <xf numFmtId="0" fontId="7" fillId="0" borderId="0" applyNumberFormat="0" applyFont="0" applyFill="0" applyBorder="0" applyAlignment="0" applyProtection="0"/>
    <xf numFmtId="0" fontId="51" fillId="0" borderId="20" applyNumberFormat="0" applyFill="0" applyAlignment="0" applyProtection="0"/>
    <xf numFmtId="0" fontId="120" fillId="0" borderId="20" applyNumberFormat="0" applyFill="0" applyAlignment="0" applyProtection="0"/>
    <xf numFmtId="0" fontId="121" fillId="0" borderId="20" applyNumberFormat="0" applyFill="0" applyAlignment="0" applyProtection="0"/>
    <xf numFmtId="0" fontId="121" fillId="0" borderId="20" applyNumberFormat="0" applyFill="0" applyAlignment="0" applyProtection="0"/>
    <xf numFmtId="0" fontId="120" fillId="0" borderId="20" applyNumberFormat="0" applyFill="0" applyAlignment="0" applyProtection="0"/>
    <xf numFmtId="0" fontId="121" fillId="0" borderId="20" applyNumberFormat="0" applyFill="0" applyAlignment="0" applyProtection="0"/>
    <xf numFmtId="187" fontId="122"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52" fillId="0" borderId="2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2" fillId="0" borderId="37" applyNumberFormat="0" applyFill="0" applyAlignment="0" applyProtection="0"/>
    <xf numFmtId="0" fontId="122" fillId="0" borderId="37"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4" fillId="0" borderId="21" applyNumberFormat="0" applyFill="0" applyAlignment="0" applyProtection="0"/>
    <xf numFmtId="0" fontId="121" fillId="0" borderId="2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3" fillId="0" borderId="38" applyNumberFormat="0" applyFill="0" applyAlignment="0" applyProtection="0"/>
    <xf numFmtId="0" fontId="123" fillId="0" borderId="38" applyNumberFormat="0" applyFill="0" applyAlignment="0" applyProtection="0"/>
    <xf numFmtId="187" fontId="122" fillId="0" borderId="37" applyNumberFormat="0" applyFill="0" applyAlignment="0" applyProtection="0"/>
    <xf numFmtId="0" fontId="123" fillId="0" borderId="38" applyNumberFormat="0" applyFill="0" applyAlignment="0" applyProtection="0"/>
    <xf numFmtId="0" fontId="122" fillId="0" borderId="37" applyNumberFormat="0" applyFill="0" applyAlignment="0" applyProtection="0"/>
    <xf numFmtId="0" fontId="122" fillId="0" borderId="37" applyNumberFormat="0" applyFill="0" applyAlignment="0" applyProtection="0"/>
    <xf numFmtId="0" fontId="124" fillId="0" borderId="21" applyNumberFormat="0" applyFill="0" applyAlignment="0" applyProtection="0"/>
    <xf numFmtId="0" fontId="7" fillId="0" borderId="0" applyNumberFormat="0" applyFont="0" applyFill="0" applyBorder="0" applyAlignment="0" applyProtection="0"/>
    <xf numFmtId="187" fontId="122" fillId="0" borderId="37" applyNumberFormat="0" applyFill="0" applyAlignment="0" applyProtection="0"/>
    <xf numFmtId="0" fontId="122" fillId="0" borderId="37" applyNumberFormat="0" applyFill="0" applyAlignment="0" applyProtection="0"/>
    <xf numFmtId="0" fontId="122" fillId="0" borderId="37" applyNumberFormat="0" applyFill="0" applyAlignment="0" applyProtection="0"/>
    <xf numFmtId="0" fontId="124" fillId="0" borderId="21" applyNumberFormat="0" applyFill="0" applyAlignment="0" applyProtection="0"/>
    <xf numFmtId="0" fontId="7" fillId="0" borderId="0" applyNumberFormat="0" applyFont="0" applyFill="0" applyBorder="0" applyAlignment="0" applyProtection="0"/>
    <xf numFmtId="0" fontId="52" fillId="0" borderId="21" applyNumberFormat="0" applyFill="0" applyAlignment="0" applyProtection="0"/>
    <xf numFmtId="0" fontId="124" fillId="0" borderId="21" applyNumberFormat="0" applyFill="0" applyAlignment="0" applyProtection="0"/>
    <xf numFmtId="0" fontId="121" fillId="0" borderId="21" applyNumberFormat="0" applyFill="0" applyAlignment="0" applyProtection="0"/>
    <xf numFmtId="0" fontId="121" fillId="0" borderId="21" applyNumberFormat="0" applyFill="0" applyAlignment="0" applyProtection="0"/>
    <xf numFmtId="0" fontId="124" fillId="0" borderId="21" applyNumberFormat="0" applyFill="0" applyAlignment="0" applyProtection="0"/>
    <xf numFmtId="0" fontId="121" fillId="0" borderId="21" applyNumberFormat="0" applyFill="0" applyAlignment="0" applyProtection="0"/>
    <xf numFmtId="187" fontId="125" fillId="0" borderId="3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53" fillId="0" borderId="2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5" fillId="0" borderId="39" applyNumberFormat="0" applyFill="0" applyAlignment="0" applyProtection="0"/>
    <xf numFmtId="0" fontId="125" fillId="0" borderId="39"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7" fillId="0" borderId="22" applyNumberFormat="0" applyFill="0" applyAlignment="0" applyProtection="0"/>
    <xf numFmtId="0" fontId="121" fillId="0" borderId="2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40" applyNumberFormat="0" applyFill="0" applyAlignment="0" applyProtection="0"/>
    <xf numFmtId="0" fontId="126" fillId="0" borderId="40" applyNumberFormat="0" applyFill="0" applyAlignment="0" applyProtection="0"/>
    <xf numFmtId="187" fontId="125" fillId="0" borderId="39" applyNumberFormat="0" applyFill="0" applyAlignment="0" applyProtection="0"/>
    <xf numFmtId="0" fontId="126" fillId="0" borderId="40"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7" fillId="0" borderId="22" applyNumberFormat="0" applyFill="0" applyAlignment="0" applyProtection="0"/>
    <xf numFmtId="0" fontId="7" fillId="0" borderId="0" applyNumberFormat="0" applyFont="0" applyFill="0" applyBorder="0" applyAlignment="0" applyProtection="0"/>
    <xf numFmtId="187"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7" fillId="0" borderId="22" applyNumberFormat="0" applyFill="0" applyAlignment="0" applyProtection="0"/>
    <xf numFmtId="0" fontId="7" fillId="0" borderId="0" applyNumberFormat="0" applyFont="0" applyFill="0" applyBorder="0" applyAlignment="0" applyProtection="0"/>
    <xf numFmtId="0" fontId="53" fillId="0" borderId="22" applyNumberFormat="0" applyFill="0" applyAlignment="0" applyProtection="0"/>
    <xf numFmtId="0" fontId="127"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7" fillId="0" borderId="22" applyNumberFormat="0" applyFill="0" applyAlignment="0" applyProtection="0"/>
    <xf numFmtId="0" fontId="121" fillId="0" borderId="22" applyNumberFormat="0" applyFill="0" applyAlignment="0" applyProtection="0"/>
    <xf numFmtId="187" fontId="12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53"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187" fontId="125" fillId="0" borderId="0" applyNumberFormat="0" applyFill="0" applyBorder="0" applyAlignment="0" applyProtection="0"/>
    <xf numFmtId="0" fontId="126"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xf numFmtId="0" fontId="7" fillId="0" borderId="0" applyNumberFormat="0" applyFont="0" applyFill="0" applyBorder="0" applyAlignment="0" applyProtection="0"/>
    <xf numFmtId="187"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7" fillId="0" borderId="0" applyNumberFormat="0" applyFill="0" applyBorder="0" applyAlignment="0" applyProtection="0"/>
    <xf numFmtId="0" fontId="7" fillId="0" borderId="0" applyNumberFormat="0" applyFont="0" applyFill="0" applyBorder="0" applyAlignment="0" applyProtection="0"/>
    <xf numFmtId="0" fontId="53" fillId="0" borderId="0" applyNumberForma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7" fillId="0" borderId="0" applyNumberFormat="0" applyFill="0" applyBorder="0" applyAlignment="0" applyProtection="0"/>
    <xf numFmtId="0" fontId="121" fillId="0" borderId="0" applyNumberFormat="0" applyFill="0" applyBorder="0" applyAlignment="0" applyProtection="0"/>
    <xf numFmtId="187"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56" fillId="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187" fontId="128" fillId="46" borderId="0" applyNumberFormat="0" applyBorder="0" applyAlignment="0" applyProtection="0"/>
    <xf numFmtId="0"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9" fillId="6" borderId="0" applyNumberFormat="0" applyBorder="0" applyAlignment="0" applyProtection="0"/>
    <xf numFmtId="0" fontId="7" fillId="0" borderId="0" applyNumberFormat="0" applyFont="0" applyFill="0" applyBorder="0" applyAlignment="0" applyProtection="0"/>
    <xf numFmtId="187" fontId="128" fillId="46"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8" fillId="46" borderId="0" applyNumberFormat="0" applyBorder="0" applyAlignment="0" applyProtection="0"/>
    <xf numFmtId="0" fontId="128" fillId="46" borderId="0" applyNumberFormat="0" applyBorder="0" applyAlignment="0" applyProtection="0"/>
    <xf numFmtId="0" fontId="129" fillId="6" borderId="0" applyNumberFormat="0" applyBorder="0" applyAlignment="0" applyProtection="0"/>
    <xf numFmtId="0" fontId="7" fillId="0" borderId="0" applyNumberFormat="0" applyFont="0" applyFill="0" applyBorder="0" applyAlignment="0" applyProtection="0"/>
    <xf numFmtId="0" fontId="56" fillId="6" borderId="0" applyNumberFormat="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6" borderId="0" applyNumberFormat="0" applyBorder="0" applyAlignment="0" applyProtection="0"/>
    <xf numFmtId="0" fontId="129" fillId="0" borderId="0" applyNumberFormat="0" applyFill="0" applyBorder="0" applyAlignment="0" applyProtection="0"/>
    <xf numFmtId="0" fontId="68" fillId="0" borderId="0"/>
    <xf numFmtId="0" fontId="72"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68" fillId="0" borderId="0"/>
    <xf numFmtId="0" fontId="130" fillId="0" borderId="0"/>
    <xf numFmtId="0" fontId="131" fillId="0" borderId="0" applyNumberFormat="0" applyFont="0" applyFill="0" applyBorder="0" applyAlignment="0" applyProtection="0">
      <protection locked="0"/>
    </xf>
    <xf numFmtId="187" fontId="44"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187" fontId="44"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44" fillId="0" borderId="0"/>
    <xf numFmtId="187" fontId="44" fillId="0" borderId="0"/>
    <xf numFmtId="0" fontId="13" fillId="0" borderId="0"/>
    <xf numFmtId="0" fontId="72" fillId="0" borderId="0"/>
    <xf numFmtId="0" fontId="72" fillId="0" borderId="0"/>
    <xf numFmtId="0" fontId="13" fillId="0" borderId="0"/>
    <xf numFmtId="0" fontId="13"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72" fillId="0" borderId="0"/>
    <xf numFmtId="0" fontId="6" fillId="0" borderId="0"/>
    <xf numFmtId="0" fontId="6" fillId="0" borderId="0"/>
    <xf numFmtId="0" fontId="132" fillId="0" borderId="0"/>
    <xf numFmtId="0" fontId="6" fillId="0" borderId="0"/>
    <xf numFmtId="0" fontId="6" fillId="0" borderId="0"/>
    <xf numFmtId="0" fontId="6" fillId="0" borderId="0"/>
    <xf numFmtId="0" fontId="6" fillId="0" borderId="0"/>
    <xf numFmtId="0" fontId="6" fillId="0" borderId="0"/>
    <xf numFmtId="0" fontId="92" fillId="0" borderId="0"/>
    <xf numFmtId="0" fontId="6" fillId="0" borderId="0"/>
    <xf numFmtId="0" fontId="6" fillId="0" borderId="0"/>
    <xf numFmtId="187" fontId="44" fillId="0" borderId="0"/>
    <xf numFmtId="187" fontId="44" fillId="0" borderId="0"/>
    <xf numFmtId="0" fontId="13" fillId="0" borderId="0"/>
    <xf numFmtId="0" fontId="72" fillId="0" borderId="0"/>
    <xf numFmtId="0" fontId="13" fillId="0" borderId="0"/>
    <xf numFmtId="0" fontId="72"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187" fontId="44" fillId="0" borderId="0"/>
    <xf numFmtId="187" fontId="44" fillId="0" borderId="0"/>
    <xf numFmtId="0" fontId="13" fillId="0" borderId="0"/>
    <xf numFmtId="0" fontId="13" fillId="0" borderId="0"/>
    <xf numFmtId="0" fontId="68" fillId="0" borderId="0"/>
    <xf numFmtId="0" fontId="13" fillId="0" borderId="0" applyNumberFormat="0" applyFill="0" applyBorder="0" applyAlignment="0" applyProtection="0"/>
    <xf numFmtId="187" fontId="72" fillId="0" borderId="0"/>
    <xf numFmtId="0" fontId="13" fillId="0" borderId="0"/>
    <xf numFmtId="0" fontId="13" fillId="0" borderId="0"/>
    <xf numFmtId="0" fontId="72" fillId="0" borderId="0"/>
    <xf numFmtId="0" fontId="72" fillId="0" borderId="0"/>
    <xf numFmtId="0" fontId="13" fillId="0" borderId="0" applyNumberFormat="0" applyFont="0" applyFill="0" applyBorder="0" applyAlignment="0" applyProtection="0"/>
    <xf numFmtId="0" fontId="68" fillId="0" borderId="0"/>
    <xf numFmtId="0" fontId="72" fillId="0" borderId="0"/>
    <xf numFmtId="187" fontId="44" fillId="0" borderId="0"/>
    <xf numFmtId="187" fontId="44" fillId="0" borderId="0"/>
    <xf numFmtId="0" fontId="13" fillId="0" borderId="0"/>
    <xf numFmtId="0" fontId="13" fillId="0" borderId="0"/>
    <xf numFmtId="0" fontId="68" fillId="0" borderId="0"/>
    <xf numFmtId="0" fontId="13" fillId="0" borderId="0" applyNumberFormat="0" applyFill="0" applyBorder="0" applyAlignment="0" applyProtection="0"/>
    <xf numFmtId="0" fontId="13" fillId="0" borderId="0"/>
    <xf numFmtId="0" fontId="13" fillId="0" borderId="0"/>
    <xf numFmtId="0" fontId="68" fillId="0" borderId="0"/>
    <xf numFmtId="0" fontId="13" fillId="0" borderId="0" applyNumberFormat="0" applyFill="0" applyBorder="0" applyAlignment="0" applyProtection="0"/>
    <xf numFmtId="187" fontId="44" fillId="0" borderId="0"/>
    <xf numFmtId="0" fontId="13" fillId="0" borderId="0"/>
    <xf numFmtId="0" fontId="68" fillId="0" borderId="0"/>
    <xf numFmtId="0" fontId="72" fillId="0" borderId="0"/>
    <xf numFmtId="187" fontId="44"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187" fontId="72" fillId="0" borderId="0"/>
    <xf numFmtId="187" fontId="78" fillId="0" borderId="0" applyFill="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72" fillId="0" borderId="0"/>
    <xf numFmtId="0" fontId="69" fillId="0" borderId="0"/>
    <xf numFmtId="0" fontId="69" fillId="0" borderId="0"/>
    <xf numFmtId="0" fontId="13" fillId="0" borderId="0" applyNumberFormat="0" applyFont="0" applyFill="0" applyBorder="0" applyAlignment="0" applyProtection="0"/>
    <xf numFmtId="188" fontId="72" fillId="0" borderId="0"/>
    <xf numFmtId="0" fontId="69" fillId="0" borderId="0"/>
    <xf numFmtId="0" fontId="69"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187" fontId="6" fillId="0" borderId="0"/>
    <xf numFmtId="0" fontId="72" fillId="0" borderId="0"/>
    <xf numFmtId="0" fontId="6" fillId="0" borderId="0" applyNumberFormat="0" applyFill="0" applyBorder="0" applyAlignment="0" applyProtection="0"/>
    <xf numFmtId="188" fontId="67"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2" fillId="0" borderId="0"/>
    <xf numFmtId="0" fontId="6" fillId="0" borderId="0"/>
    <xf numFmtId="0" fontId="13" fillId="0" borderId="0" applyNumberFormat="0" applyFont="0" applyFill="0" applyBorder="0" applyAlignment="0" applyProtection="0"/>
    <xf numFmtId="187" fontId="6" fillId="0" borderId="0"/>
    <xf numFmtId="187" fontId="13" fillId="0" borderId="0"/>
    <xf numFmtId="187" fontId="13" fillId="0" borderId="0"/>
    <xf numFmtId="0" fontId="6" fillId="0" borderId="0"/>
    <xf numFmtId="0" fontId="6" fillId="0" borderId="0"/>
    <xf numFmtId="0" fontId="68" fillId="0" borderId="0"/>
    <xf numFmtId="0" fontId="6" fillId="0" borderId="0"/>
    <xf numFmtId="0" fontId="6" fillId="0" borderId="0" applyNumberFormat="0" applyFill="0" applyBorder="0" applyAlignment="0" applyProtection="0"/>
    <xf numFmtId="187" fontId="7" fillId="0" borderId="0"/>
    <xf numFmtId="0" fontId="6" fillId="0" borderId="0"/>
    <xf numFmtId="0" fontId="6"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187" fontId="7" fillId="0" borderId="0"/>
    <xf numFmtId="0" fontId="6" fillId="0" borderId="0" applyNumberFormat="0" applyFill="0" applyBorder="0" applyAlignment="0" applyProtection="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69" fillId="0" borderId="0"/>
    <xf numFmtId="0" fontId="69" fillId="0" borderId="0"/>
    <xf numFmtId="0" fontId="13" fillId="0" borderId="0" applyNumberFormat="0" applyFont="0" applyFill="0" applyBorder="0" applyAlignment="0" applyProtection="0"/>
    <xf numFmtId="0" fontId="72" fillId="0" borderId="0"/>
    <xf numFmtId="0" fontId="72" fillId="0" borderId="0"/>
    <xf numFmtId="0" fontId="13" fillId="0" borderId="0" applyNumberFormat="0" applyFont="0" applyFill="0" applyBorder="0" applyAlignment="0" applyProtection="0"/>
    <xf numFmtId="0" fontId="72" fillId="0" borderId="0"/>
    <xf numFmtId="0" fontId="72" fillId="0" borderId="0"/>
    <xf numFmtId="0" fontId="13" fillId="0" borderId="0" applyNumberFormat="0" applyFill="0" applyBorder="0" applyAlignment="0" applyProtection="0"/>
    <xf numFmtId="0" fontId="90" fillId="0" borderId="0"/>
    <xf numFmtId="0" fontId="90" fillId="0" borderId="0"/>
    <xf numFmtId="0" fontId="13" fillId="0" borderId="0" applyNumberFormat="0" applyFill="0" applyBorder="0" applyAlignment="0" applyProtection="0"/>
    <xf numFmtId="0" fontId="90" fillId="0" borderId="0"/>
    <xf numFmtId="0" fontId="90" fillId="0" borderId="0"/>
    <xf numFmtId="0" fontId="13" fillId="0" borderId="0" applyNumberFormat="0" applyFont="0" applyFill="0" applyBorder="0" applyAlignment="0" applyProtection="0"/>
    <xf numFmtId="0" fontId="72" fillId="0" borderId="0"/>
    <xf numFmtId="0" fontId="72" fillId="0" borderId="0"/>
    <xf numFmtId="0" fontId="72" fillId="0" borderId="0"/>
    <xf numFmtId="187" fontId="72" fillId="0" borderId="0"/>
    <xf numFmtId="0" fontId="72" fillId="0" borderId="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on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3" fillId="0" borderId="0"/>
    <xf numFmtId="187" fontId="72"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68" fillId="0" borderId="0"/>
    <xf numFmtId="0" fontId="13" fillId="0" borderId="0" applyNumberFormat="0" applyFont="0" applyFill="0" applyBorder="0" applyAlignment="0" applyProtection="0"/>
    <xf numFmtId="0" fontId="68" fillId="0" borderId="0"/>
    <xf numFmtId="0" fontId="68" fillId="0" borderId="0"/>
    <xf numFmtId="0" fontId="69"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68" fillId="0" borderId="0"/>
    <xf numFmtId="187" fontId="68" fillId="0" borderId="0"/>
    <xf numFmtId="0" fontId="69" fillId="0" borderId="0"/>
    <xf numFmtId="187" fontId="13"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68" fillId="0" borderId="0"/>
    <xf numFmtId="0" fontId="69" fillId="0" borderId="0"/>
    <xf numFmtId="0" fontId="69" fillId="0" borderId="0"/>
    <xf numFmtId="0" fontId="13" fillId="0" borderId="0" applyNumberFormat="0" applyFont="0" applyFill="0" applyBorder="0" applyAlignment="0" applyProtection="0"/>
    <xf numFmtId="187" fontId="72" fillId="0" borderId="0"/>
    <xf numFmtId="187" fontId="44"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44" fillId="0" borderId="0"/>
    <xf numFmtId="0" fontId="6" fillId="0" borderId="0"/>
    <xf numFmtId="0" fontId="72"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107" fillId="0" borderId="0"/>
    <xf numFmtId="0" fontId="6" fillId="0" borderId="0"/>
    <xf numFmtId="0" fontId="6" fillId="0" borderId="0"/>
    <xf numFmtId="0" fontId="13" fillId="0" borderId="0"/>
    <xf numFmtId="0" fontId="107" fillId="0" borderId="0"/>
    <xf numFmtId="0" fontId="6" fillId="0" borderId="0"/>
    <xf numFmtId="0" fontId="6" fillId="0" borderId="0"/>
    <xf numFmtId="0" fontId="13" fillId="0" borderId="0"/>
    <xf numFmtId="0" fontId="107" fillId="0" borderId="0"/>
    <xf numFmtId="0" fontId="6" fillId="0" borderId="0"/>
    <xf numFmtId="0" fontId="6" fillId="0" borderId="0"/>
    <xf numFmtId="0" fontId="6" fillId="0" borderId="0"/>
    <xf numFmtId="0" fontId="13" fillId="0" borderId="0"/>
    <xf numFmtId="0" fontId="6" fillId="0" borderId="0"/>
    <xf numFmtId="0" fontId="90" fillId="0" borderId="0"/>
    <xf numFmtId="0" fontId="6" fillId="0" borderId="0"/>
    <xf numFmtId="187" fontId="72" fillId="0" borderId="0"/>
    <xf numFmtId="0" fontId="72"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72" fillId="0" borderId="0"/>
    <xf numFmtId="0" fontId="13" fillId="0" borderId="0" applyNumberFormat="0" applyFon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72" fillId="0" borderId="0"/>
    <xf numFmtId="0" fontId="13" fillId="0" borderId="0" applyNumberFormat="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applyNumberFormat="0" applyFont="0" applyFill="0" applyBorder="0" applyAlignment="0" applyProtection="0"/>
    <xf numFmtId="187" fontId="7" fillId="0" borderId="0"/>
    <xf numFmtId="0" fontId="91" fillId="0" borderId="0"/>
    <xf numFmtId="0" fontId="13" fillId="0" borderId="0"/>
    <xf numFmtId="187" fontId="7" fillId="0" borderId="0"/>
    <xf numFmtId="0" fontId="91" fillId="0" borderId="0"/>
    <xf numFmtId="0" fontId="13" fillId="0" borderId="0"/>
    <xf numFmtId="187" fontId="7" fillId="0" borderId="0"/>
    <xf numFmtId="187" fontId="72" fillId="0" borderId="0"/>
    <xf numFmtId="0" fontId="6" fillId="0" borderId="0"/>
    <xf numFmtId="0" fontId="13" fillId="0" borderId="0"/>
    <xf numFmtId="0" fontId="107" fillId="0" borderId="0"/>
    <xf numFmtId="0" fontId="6" fillId="0" borderId="0"/>
    <xf numFmtId="187" fontId="13" fillId="0" borderId="0"/>
    <xf numFmtId="0" fontId="6" fillId="0" borderId="0"/>
    <xf numFmtId="0" fontId="13" fillId="0" borderId="0"/>
    <xf numFmtId="0" fontId="6" fillId="0" borderId="0"/>
    <xf numFmtId="0" fontId="107" fillId="0" borderId="0"/>
    <xf numFmtId="0" fontId="6" fillId="0" borderId="0"/>
    <xf numFmtId="0" fontId="13" fillId="0" borderId="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68" fillId="0" borderId="0"/>
    <xf numFmtId="0" fontId="6" fillId="0" borderId="0"/>
    <xf numFmtId="0" fontId="6" fillId="0" borderId="0"/>
    <xf numFmtId="0" fontId="13" fillId="0" borderId="0"/>
    <xf numFmtId="0" fontId="72"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72" fillId="0" borderId="0"/>
    <xf numFmtId="0" fontId="6" fillId="0" borderId="0"/>
    <xf numFmtId="0" fontId="13" fillId="0" borderId="0"/>
    <xf numFmtId="0" fontId="6" fillId="0" borderId="0"/>
    <xf numFmtId="0" fontId="13" fillId="0" borderId="0"/>
    <xf numFmtId="187" fontId="44" fillId="0" borderId="0"/>
    <xf numFmtId="0" fontId="13" fillId="0" borderId="0"/>
    <xf numFmtId="0" fontId="13" fillId="0" borderId="0" applyNumberFormat="0" applyFill="0" applyBorder="0" applyAlignment="0" applyProtection="0"/>
    <xf numFmtId="187" fontId="6" fillId="0" borderId="0"/>
    <xf numFmtId="187" fontId="6" fillId="0" borderId="0"/>
    <xf numFmtId="0" fontId="13"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 fillId="0" borderId="0"/>
    <xf numFmtId="0" fontId="6" fillId="0" borderId="0"/>
    <xf numFmtId="0" fontId="72" fillId="0" borderId="0"/>
    <xf numFmtId="0" fontId="6" fillId="0" borderId="0" applyNumberFormat="0" applyFill="0" applyBorder="0" applyAlignment="0" applyProtection="0"/>
    <xf numFmtId="187" fontId="72" fillId="0" borderId="0"/>
    <xf numFmtId="0" fontId="13" fillId="0" borderId="0"/>
    <xf numFmtId="0" fontId="72" fillId="0" borderId="0"/>
    <xf numFmtId="0" fontId="72" fillId="0" borderId="0"/>
    <xf numFmtId="0" fontId="13" fillId="0" borderId="0" applyNumberFormat="0" applyFont="0" applyFill="0" applyBorder="0" applyAlignment="0" applyProtection="0"/>
    <xf numFmtId="187" fontId="72" fillId="0" borderId="0"/>
    <xf numFmtId="0" fontId="72" fillId="0" borderId="0"/>
    <xf numFmtId="0" fontId="72" fillId="0" borderId="0"/>
    <xf numFmtId="0" fontId="13" fillId="0" borderId="0" applyNumberFormat="0" applyFont="0" applyFill="0" applyBorder="0" applyAlignment="0" applyProtection="0"/>
    <xf numFmtId="187" fontId="44" fillId="0" borderId="0"/>
    <xf numFmtId="0" fontId="13" fillId="0" borderId="0"/>
    <xf numFmtId="0" fontId="13" fillId="0" borderId="0"/>
    <xf numFmtId="0" fontId="13" fillId="0" borderId="0" applyNumberFormat="0" applyFill="0" applyBorder="0" applyAlignment="0" applyProtection="0"/>
    <xf numFmtId="187" fontId="4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187" fontId="72" fillId="0" borderId="0"/>
    <xf numFmtId="0" fontId="72" fillId="0" borderId="0"/>
    <xf numFmtId="0" fontId="6" fillId="0" borderId="0"/>
    <xf numFmtId="0" fontId="13" fillId="0" borderId="0"/>
    <xf numFmtId="0" fontId="6" fillId="0" borderId="0"/>
    <xf numFmtId="187"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0" fontId="13" fillId="0" borderId="0"/>
    <xf numFmtId="0" fontId="6" fillId="0" borderId="0"/>
    <xf numFmtId="188" fontId="13" fillId="0" borderId="0"/>
    <xf numFmtId="0" fontId="6" fillId="0" borderId="0"/>
    <xf numFmtId="0" fontId="13" fillId="0" borderId="0"/>
    <xf numFmtId="0" fontId="13" fillId="0" borderId="0"/>
    <xf numFmtId="0" fontId="6" fillId="0" borderId="0"/>
    <xf numFmtId="188" fontId="13" fillId="0" borderId="0"/>
    <xf numFmtId="0" fontId="6" fillId="0" borderId="0"/>
    <xf numFmtId="0" fontId="13" fillId="0" borderId="0"/>
    <xf numFmtId="0" fontId="13" fillId="0" borderId="0"/>
    <xf numFmtId="0" fontId="6" fillId="0" borderId="0"/>
    <xf numFmtId="187" fontId="13"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187" fontId="134" fillId="0" borderId="0"/>
    <xf numFmtId="0" fontId="72" fillId="0" borderId="0"/>
    <xf numFmtId="0" fontId="13" fillId="0" borderId="0"/>
    <xf numFmtId="0" fontId="13" fillId="0" borderId="0" applyNumberFormat="0" applyFont="0" applyFill="0" applyBorder="0" applyAlignment="0" applyProtection="0"/>
    <xf numFmtId="0" fontId="44" fillId="0" borderId="0"/>
    <xf numFmtId="0" fontId="134" fillId="0" borderId="0" applyNumberFormat="0" applyFill="0" applyBorder="0" applyAlignment="0" applyProtection="0"/>
    <xf numFmtId="0" fontId="13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2"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3" fillId="0" borderId="0" applyNumberFormat="0" applyFont="0" applyFill="0" applyBorder="0" applyAlignment="0" applyProtection="0"/>
    <xf numFmtId="0" fontId="13" fillId="0" borderId="0"/>
    <xf numFmtId="0" fontId="6" fillId="0" borderId="0"/>
    <xf numFmtId="0" fontId="6" fillId="0" borderId="0" applyNumberFormat="0" applyFill="0" applyBorder="0" applyAlignment="0" applyProtection="0"/>
    <xf numFmtId="0" fontId="72" fillId="0" borderId="0"/>
    <xf numFmtId="0" fontId="6"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2" fillId="0" borderId="0"/>
    <xf numFmtId="0" fontId="13" fillId="0" borderId="0" applyNumberFormat="0" applyFont="0" applyFill="0" applyBorder="0" applyAlignment="0" applyProtection="0"/>
    <xf numFmtId="0" fontId="68" fillId="0" borderId="0"/>
    <xf numFmtId="0" fontId="134" fillId="0" borderId="0"/>
    <xf numFmtId="187" fontId="7" fillId="0" borderId="0"/>
    <xf numFmtId="0" fontId="13" fillId="0" borderId="0"/>
    <xf numFmtId="0" fontId="72" fillId="0" borderId="0"/>
    <xf numFmtId="0" fontId="13" fillId="0" borderId="0" applyNumberFormat="0" applyFont="0" applyFill="0" applyBorder="0" applyAlignment="0" applyProtection="0"/>
    <xf numFmtId="187" fontId="7" fillId="0" borderId="0"/>
    <xf numFmtId="0" fontId="134"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 fillId="0" borderId="0"/>
    <xf numFmtId="0" fontId="13" fillId="0" borderId="0" applyNumberFormat="0" applyFont="0" applyFill="0" applyBorder="0" applyAlignment="0" applyProtection="0"/>
    <xf numFmtId="187" fontId="72"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6" fillId="0" borderId="0"/>
    <xf numFmtId="0" fontId="6" fillId="0" borderId="0"/>
    <xf numFmtId="0" fontId="6" fillId="0" borderId="0"/>
    <xf numFmtId="187" fontId="44" fillId="0" borderId="0"/>
    <xf numFmtId="187" fontId="44" fillId="0" borderId="0"/>
    <xf numFmtId="0" fontId="72" fillId="0" borderId="0"/>
    <xf numFmtId="0" fontId="13" fillId="0" borderId="0" applyNumberFormat="0" applyFill="0" applyBorder="0" applyAlignment="0" applyProtection="0"/>
    <xf numFmtId="187" fontId="44" fillId="0" borderId="0"/>
    <xf numFmtId="0" fontId="13" fillId="0" borderId="0" applyNumberFormat="0" applyFill="0" applyBorder="0" applyAlignment="0" applyProtection="0"/>
    <xf numFmtId="0" fontId="72" fillId="0" borderId="0"/>
    <xf numFmtId="0" fontId="13" fillId="0" borderId="0"/>
    <xf numFmtId="0" fontId="13" fillId="0" borderId="0" applyNumberFormat="0" applyFill="0" applyBorder="0" applyAlignment="0" applyProtection="0"/>
    <xf numFmtId="188" fontId="4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44" fillId="0" borderId="0"/>
    <xf numFmtId="187" fontId="44" fillId="0" borderId="0"/>
    <xf numFmtId="0" fontId="13" fillId="0" borderId="0"/>
    <xf numFmtId="0" fontId="13" fillId="0" borderId="0" applyNumberFormat="0" applyFont="0" applyFill="0" applyBorder="0" applyAlignment="0" applyProtection="0"/>
    <xf numFmtId="0" fontId="72" fillId="0" borderId="0"/>
    <xf numFmtId="0" fontId="72" fillId="0" borderId="0"/>
    <xf numFmtId="0" fontId="13" fillId="0" borderId="0"/>
    <xf numFmtId="0" fontId="13" fillId="0" borderId="0" applyNumberFormat="0" applyFill="0" applyBorder="0" applyAlignment="0" applyProtection="0"/>
    <xf numFmtId="187" fontId="6" fillId="0" borderId="0"/>
    <xf numFmtId="0" fontId="13" fillId="0" borderId="0"/>
    <xf numFmtId="0" fontId="13"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13" fillId="0" borderId="0" applyNumberFormat="0" applyFont="0" applyFill="0" applyBorder="0" applyAlignment="0" applyProtection="0"/>
    <xf numFmtId="0" fontId="13" fillId="0" borderId="0"/>
    <xf numFmtId="0" fontId="6" fillId="0" borderId="0" applyNumberFormat="0" applyFill="0" applyBorder="0" applyAlignment="0" applyProtection="0"/>
    <xf numFmtId="0" fontId="13" fillId="0" borderId="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187" fontId="7" fillId="0" borderId="0"/>
    <xf numFmtId="0" fontId="72" fillId="0" borderId="0"/>
    <xf numFmtId="187" fontId="44" fillId="0" borderId="0"/>
    <xf numFmtId="187" fontId="44"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 fillId="0" borderId="0"/>
    <xf numFmtId="0" fontId="72" fillId="0" borderId="0"/>
    <xf numFmtId="0" fontId="13" fillId="0" borderId="0" applyNumberFormat="0" applyFill="0" applyBorder="0" applyAlignment="0" applyProtection="0"/>
    <xf numFmtId="187" fontId="72" fillId="0" borderId="0"/>
    <xf numFmtId="0" fontId="6" fillId="0" borderId="0"/>
    <xf numFmtId="0" fontId="13" fillId="0" borderId="0"/>
    <xf numFmtId="0" fontId="6" fillId="0" borderId="0"/>
    <xf numFmtId="0" fontId="6" fillId="0" borderId="0"/>
    <xf numFmtId="0" fontId="13"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72" fillId="0" borderId="0"/>
    <xf numFmtId="0" fontId="6" fillId="0" borderId="0"/>
    <xf numFmtId="0" fontId="6" fillId="0" borderId="0"/>
    <xf numFmtId="0" fontId="1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 fillId="0" borderId="0"/>
    <xf numFmtId="187" fontId="7" fillId="0" borderId="0"/>
    <xf numFmtId="187" fontId="44" fillId="0" borderId="0"/>
    <xf numFmtId="187" fontId="44" fillId="0" borderId="0"/>
    <xf numFmtId="0" fontId="13" fillId="0" borderId="0"/>
    <xf numFmtId="0" fontId="13" fillId="0" borderId="0" applyNumberFormat="0" applyFill="0" applyBorder="0" applyAlignment="0" applyProtection="0"/>
    <xf numFmtId="187" fontId="6" fillId="0" borderId="0"/>
    <xf numFmtId="0" fontId="13" fillId="0" borderId="0"/>
    <xf numFmtId="0" fontId="6" fillId="0" borderId="0"/>
    <xf numFmtId="0" fontId="6" fillId="0" borderId="0"/>
    <xf numFmtId="0" fontId="13" fillId="0" borderId="0"/>
    <xf numFmtId="0" fontId="6" fillId="0" borderId="0" applyNumberFormat="0" applyFill="0" applyBorder="0" applyAlignment="0" applyProtection="0"/>
    <xf numFmtId="187" fontId="6" fillId="0" borderId="0"/>
    <xf numFmtId="187" fontId="6" fillId="0" borderId="0"/>
    <xf numFmtId="0" fontId="13" fillId="0" borderId="0"/>
    <xf numFmtId="0" fontId="6" fillId="0" borderId="0"/>
    <xf numFmtId="0" fontId="6" fillId="0" borderId="0"/>
    <xf numFmtId="0" fontId="6" fillId="0" borderId="0" applyNumberFormat="0" applyFill="0" applyBorder="0" applyAlignment="0" applyProtection="0"/>
    <xf numFmtId="187" fontId="6" fillId="0" borderId="0"/>
    <xf numFmtId="187" fontId="7" fillId="0" borderId="0"/>
    <xf numFmtId="0" fontId="13" fillId="0" borderId="0"/>
    <xf numFmtId="187" fontId="7" fillId="0" borderId="0"/>
    <xf numFmtId="0" fontId="13" fillId="0" borderId="0"/>
    <xf numFmtId="187" fontId="7" fillId="0" borderId="0"/>
    <xf numFmtId="187" fontId="7" fillId="0" borderId="0"/>
    <xf numFmtId="187" fontId="7" fillId="0" borderId="0"/>
    <xf numFmtId="187" fontId="7" fillId="0" borderId="0"/>
    <xf numFmtId="187"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7" fillId="0" borderId="0"/>
    <xf numFmtId="187" fontId="7" fillId="0" borderId="0"/>
    <xf numFmtId="187" fontId="44" fillId="0" borderId="0"/>
    <xf numFmtId="187" fontId="44" fillId="0" borderId="0"/>
    <xf numFmtId="0" fontId="72" fillId="0" borderId="0"/>
    <xf numFmtId="0" fontId="13" fillId="0" borderId="0"/>
    <xf numFmtId="0" fontId="13" fillId="0" borderId="0" applyNumberFormat="0" applyFon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xf numFmtId="0" fontId="6" fillId="0" borderId="0"/>
    <xf numFmtId="0" fontId="6" fillId="0" borderId="0"/>
    <xf numFmtId="0" fontId="13" fillId="0" borderId="0"/>
    <xf numFmtId="0" fontId="13" fillId="0" borderId="0" applyNumberFormat="0" applyFill="0" applyBorder="0" applyAlignment="0" applyProtection="0"/>
    <xf numFmtId="187"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7" fontId="6" fillId="0" borderId="0"/>
    <xf numFmtId="0" fontId="13" fillId="0" borderId="0"/>
    <xf numFmtId="0" fontId="6" fillId="0" borderId="0"/>
    <xf numFmtId="0" fontId="6" fillId="0" borderId="0"/>
    <xf numFmtId="0" fontId="6" fillId="0" borderId="0" applyNumberFormat="0" applyFill="0" applyBorder="0" applyAlignment="0" applyProtection="0"/>
    <xf numFmtId="187" fontId="6" fillId="0" borderId="0"/>
    <xf numFmtId="187" fontId="7" fillId="0" borderId="0"/>
    <xf numFmtId="0" fontId="68" fillId="0" borderId="0"/>
    <xf numFmtId="187" fontId="7" fillId="0" borderId="0"/>
    <xf numFmtId="0" fontId="68" fillId="0" borderId="0"/>
    <xf numFmtId="187" fontId="7" fillId="0" borderId="0"/>
    <xf numFmtId="187" fontId="7" fillId="0" borderId="0"/>
    <xf numFmtId="187" fontId="7" fillId="0" borderId="0"/>
    <xf numFmtId="187" fontId="7" fillId="0" borderId="0"/>
    <xf numFmtId="187"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3" fillId="0" borderId="0"/>
    <xf numFmtId="187" fontId="13" fillId="0" borderId="0"/>
    <xf numFmtId="0" fontId="68" fillId="0" borderId="0"/>
    <xf numFmtId="187" fontId="44" fillId="0" borderId="0"/>
    <xf numFmtId="0" fontId="68" fillId="0" borderId="0"/>
    <xf numFmtId="187" fontId="44" fillId="0" borderId="0"/>
    <xf numFmtId="0" fontId="72" fillId="0" borderId="0"/>
    <xf numFmtId="0" fontId="13" fillId="0" borderId="0"/>
    <xf numFmtId="0" fontId="1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5" fillId="0" borderId="0" applyNumberFormat="0" applyFill="0" applyBorder="0" applyProtection="0">
      <alignment vertical="top" wrapText="1"/>
    </xf>
    <xf numFmtId="0" fontId="135" fillId="0" borderId="0" applyNumberFormat="0" applyFill="0" applyBorder="0" applyProtection="0">
      <alignment vertical="top" wrapText="1"/>
    </xf>
    <xf numFmtId="207" fontId="136" fillId="0" borderId="0" applyFill="0" applyBorder="0" applyProtection="0">
      <alignment horizontal="right" vertical="top"/>
    </xf>
    <xf numFmtId="187" fontId="137" fillId="40"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59" fillId="8" borderId="23"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40"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40"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8" fillId="8" borderId="23" applyNumberFormat="0" applyAlignment="0" applyProtection="0"/>
    <xf numFmtId="0" fontId="111" fillId="0" borderId="23"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7" fillId="58" borderId="29" applyNumberFormat="0" applyAlignment="0" applyProtection="0"/>
    <xf numFmtId="0" fontId="137" fillId="58" borderId="29" applyNumberFormat="0" applyAlignment="0" applyProtection="0"/>
    <xf numFmtId="0" fontId="137" fillId="58" borderId="29" applyNumberFormat="0" applyAlignment="0" applyProtection="0"/>
    <xf numFmtId="187" fontId="137" fillId="40" borderId="29" applyNumberFormat="0" applyAlignment="0" applyProtection="0"/>
    <xf numFmtId="0" fontId="137" fillId="58"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40" borderId="29" applyNumberFormat="0" applyAlignment="0" applyProtection="0"/>
    <xf numFmtId="0" fontId="137" fillId="40" borderId="29" applyNumberFormat="0" applyAlignment="0" applyProtection="0"/>
    <xf numFmtId="0" fontId="138" fillId="8" borderId="23" applyNumberFormat="0" applyAlignment="0" applyProtection="0"/>
    <xf numFmtId="0" fontId="13" fillId="0" borderId="0" applyNumberFormat="0" applyFont="0" applyFill="0" applyBorder="0" applyAlignment="0" applyProtection="0"/>
    <xf numFmtId="187" fontId="137" fillId="40" borderId="2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40" borderId="29" applyNumberFormat="0" applyAlignment="0" applyProtection="0"/>
    <xf numFmtId="0" fontId="137" fillId="40" borderId="29" applyNumberFormat="0" applyAlignment="0" applyProtection="0"/>
    <xf numFmtId="0" fontId="138" fillId="8" borderId="23" applyNumberFormat="0" applyAlignment="0" applyProtection="0"/>
    <xf numFmtId="0" fontId="13" fillId="0" borderId="0" applyNumberFormat="0" applyFont="0" applyFill="0" applyBorder="0" applyAlignment="0" applyProtection="0"/>
    <xf numFmtId="0" fontId="59" fillId="8" borderId="23" applyNumberFormat="0" applyAlignment="0" applyProtection="0"/>
    <xf numFmtId="0" fontId="138" fillId="8" borderId="23"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38" fillId="8" borderId="23" applyNumberFormat="0" applyAlignment="0" applyProtection="0"/>
    <xf numFmtId="0" fontId="111" fillId="0" borderId="23" applyNumberFormat="0" applyFill="0" applyAlignment="0" applyProtection="0"/>
    <xf numFmtId="208" fontId="139" fillId="0" borderId="0">
      <alignment horizontal="left"/>
    </xf>
    <xf numFmtId="40" fontId="140" fillId="53" borderId="0">
      <alignment horizontal="right"/>
    </xf>
    <xf numFmtId="0" fontId="141" fillId="53" borderId="0">
      <alignment horizontal="right"/>
    </xf>
    <xf numFmtId="0" fontId="142" fillId="53" borderId="41"/>
    <xf numFmtId="0" fontId="142" fillId="0" borderId="0" applyBorder="0">
      <alignment horizontal="centerContinuous"/>
    </xf>
    <xf numFmtId="0" fontId="143" fillId="0" borderId="0" applyBorder="0">
      <alignment horizontal="centerContinuous"/>
    </xf>
    <xf numFmtId="0" fontId="13" fillId="0" borderId="0" applyNumberFormat="0" applyFont="0" applyFill="0" applyBorder="0" applyAlignment="0" applyProtection="0"/>
    <xf numFmtId="0" fontId="13" fillId="0" borderId="0" applyNumberFormat="0" applyFont="0" applyFill="0" applyBorder="0" applyAlignment="0" applyProtection="0"/>
    <xf numFmtId="10" fontId="72" fillId="0" borderId="0" applyFont="0" applyFill="0" applyBorder="0" applyAlignment="0" applyProtection="0"/>
    <xf numFmtId="9" fontId="68" fillId="0" borderId="0" applyFont="0" applyFill="0" applyBorder="0" applyAlignment="0" applyProtection="0"/>
    <xf numFmtId="187" fontId="144" fillId="0" borderId="0" applyNumberFormat="0" applyFill="0" applyBorder="0" applyProtection="0">
      <alignment horizontal="left"/>
    </xf>
    <xf numFmtId="187" fontId="144" fillId="0" borderId="0" applyNumberFormat="0" applyFill="0" applyBorder="0" applyAlignment="0" applyProtection="0"/>
    <xf numFmtId="187" fontId="144" fillId="0" borderId="0" applyNumberFormat="0" applyFill="0" applyBorder="0" applyAlignment="0" applyProtection="0"/>
    <xf numFmtId="187" fontId="144" fillId="0" borderId="0" applyNumberFormat="0" applyFill="0" applyBorder="0" applyAlignment="0" applyProtection="0"/>
    <xf numFmtId="187" fontId="144" fillId="0" borderId="0" applyNumberFormat="0" applyFill="0" applyBorder="0" applyProtection="0">
      <alignment horizontal="left"/>
    </xf>
    <xf numFmtId="187" fontId="144" fillId="0" borderId="0" applyNumberFormat="0" applyFill="0" applyBorder="0" applyAlignment="0" applyProtection="0"/>
    <xf numFmtId="2" fontId="145" fillId="53" borderId="0">
      <protection locked="0"/>
    </xf>
    <xf numFmtId="209" fontId="135" fillId="0" borderId="0"/>
    <xf numFmtId="9" fontId="13"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146"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2"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44"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9" fontId="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0" borderId="0" applyNumberFormat="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47" fillId="46" borderId="42" applyNumberFormat="0" applyProtection="0">
      <alignment vertical="center"/>
    </xf>
    <xf numFmtId="4" fontId="148" fillId="64" borderId="42" applyNumberFormat="0" applyProtection="0">
      <alignment vertical="center"/>
    </xf>
    <xf numFmtId="4" fontId="147" fillId="64" borderId="42" applyNumberFormat="0" applyProtection="0">
      <alignment horizontal="left" vertical="center" indent="1"/>
    </xf>
    <xf numFmtId="0" fontId="147" fillId="64" borderId="42" applyNumberFormat="0" applyProtection="0">
      <alignment horizontal="left" vertical="top" indent="1"/>
    </xf>
    <xf numFmtId="4" fontId="147" fillId="65" borderId="0" applyNumberFormat="0" applyProtection="0">
      <alignment horizontal="left" vertical="center" indent="1"/>
    </xf>
    <xf numFmtId="4" fontId="149" fillId="36" borderId="42" applyNumberFormat="0" applyProtection="0">
      <alignment horizontal="right" vertical="center"/>
    </xf>
    <xf numFmtId="4" fontId="149" fillId="45" borderId="42" applyNumberFormat="0" applyProtection="0">
      <alignment horizontal="right" vertical="center"/>
    </xf>
    <xf numFmtId="4" fontId="149" fillId="43" borderId="42" applyNumberFormat="0" applyProtection="0">
      <alignment horizontal="right" vertical="center"/>
    </xf>
    <xf numFmtId="4" fontId="149" fillId="48" borderId="42" applyNumberFormat="0" applyProtection="0">
      <alignment horizontal="right" vertical="center"/>
    </xf>
    <xf numFmtId="4" fontId="149" fillId="52" borderId="42" applyNumberFormat="0" applyProtection="0">
      <alignment horizontal="right" vertical="center"/>
    </xf>
    <xf numFmtId="4" fontId="149" fillId="57" borderId="42" applyNumberFormat="0" applyProtection="0">
      <alignment horizontal="right" vertical="center"/>
    </xf>
    <xf numFmtId="4" fontId="149" fillId="55" borderId="42" applyNumberFormat="0" applyProtection="0">
      <alignment horizontal="right" vertical="center"/>
    </xf>
    <xf numFmtId="4" fontId="149" fillId="66" borderId="42" applyNumberFormat="0" applyProtection="0">
      <alignment horizontal="right" vertical="center"/>
    </xf>
    <xf numFmtId="4" fontId="149" fillId="47" borderId="42" applyNumberFormat="0" applyProtection="0">
      <alignment horizontal="right" vertical="center"/>
    </xf>
    <xf numFmtId="4" fontId="147" fillId="67" borderId="43" applyNumberFormat="0" applyProtection="0">
      <alignment horizontal="left" vertical="center" indent="1"/>
    </xf>
    <xf numFmtId="4" fontId="149" fillId="68" borderId="0" applyNumberFormat="0" applyProtection="0">
      <alignment horizontal="left" vertical="center" indent="1"/>
    </xf>
    <xf numFmtId="4" fontId="150" fillId="69" borderId="0" applyNumberFormat="0" applyProtection="0">
      <alignment horizontal="left" vertical="center" indent="1"/>
    </xf>
    <xf numFmtId="4" fontId="149" fillId="70" borderId="42" applyNumberFormat="0" applyProtection="0">
      <alignment horizontal="right" vertical="center"/>
    </xf>
    <xf numFmtId="4" fontId="151" fillId="68" borderId="0" applyNumberFormat="0" applyProtection="0">
      <alignment horizontal="left" vertical="center" indent="1"/>
    </xf>
    <xf numFmtId="4" fontId="151" fillId="65" borderId="0"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center" indent="1"/>
    </xf>
    <xf numFmtId="0" fontId="72" fillId="69" borderId="42" applyNumberFormat="0" applyProtection="0">
      <alignment horizontal="left" vertical="top" indent="1"/>
    </xf>
    <xf numFmtId="0" fontId="72" fillId="69" borderId="42" applyNumberFormat="0" applyProtection="0">
      <alignment horizontal="left" vertical="top" indent="1"/>
    </xf>
    <xf numFmtId="0" fontId="72" fillId="69" borderId="42" applyNumberFormat="0" applyProtection="0">
      <alignment horizontal="left" vertical="top" indent="1"/>
    </xf>
    <xf numFmtId="0" fontId="72" fillId="65" borderId="42" applyNumberFormat="0" applyProtection="0">
      <alignment horizontal="left" vertical="center" indent="1"/>
    </xf>
    <xf numFmtId="0" fontId="72" fillId="65" borderId="42" applyNumberFormat="0" applyProtection="0">
      <alignment horizontal="left" vertical="center" indent="1"/>
    </xf>
    <xf numFmtId="0" fontId="72" fillId="65" borderId="42" applyNumberFormat="0" applyProtection="0">
      <alignment horizontal="left" vertical="center" indent="1"/>
    </xf>
    <xf numFmtId="0" fontId="72" fillId="65" borderId="42" applyNumberFormat="0" applyProtection="0">
      <alignment horizontal="left" vertical="top" indent="1"/>
    </xf>
    <xf numFmtId="0" fontId="72" fillId="65" borderId="42" applyNumberFormat="0" applyProtection="0">
      <alignment horizontal="left" vertical="top" indent="1"/>
    </xf>
    <xf numFmtId="0" fontId="72" fillId="65" borderId="42" applyNumberFormat="0" applyProtection="0">
      <alignment horizontal="left" vertical="top" indent="1"/>
    </xf>
    <xf numFmtId="0" fontId="72" fillId="71" borderId="42" applyNumberFormat="0" applyProtection="0">
      <alignment horizontal="left" vertical="center" indent="1"/>
    </xf>
    <xf numFmtId="0" fontId="72" fillId="71" borderId="42" applyNumberFormat="0" applyProtection="0">
      <alignment horizontal="left" vertical="center" indent="1"/>
    </xf>
    <xf numFmtId="0" fontId="72" fillId="71" borderId="42" applyNumberFormat="0" applyProtection="0">
      <alignment horizontal="left" vertical="center" indent="1"/>
    </xf>
    <xf numFmtId="0" fontId="72" fillId="71" borderId="42" applyNumberFormat="0" applyProtection="0">
      <alignment horizontal="left" vertical="top" indent="1"/>
    </xf>
    <xf numFmtId="0" fontId="72" fillId="71" borderId="42" applyNumberFormat="0" applyProtection="0">
      <alignment horizontal="left" vertical="top" indent="1"/>
    </xf>
    <xf numFmtId="0" fontId="72" fillId="71" borderId="42" applyNumberFormat="0" applyProtection="0">
      <alignment horizontal="left" vertical="top" indent="1"/>
    </xf>
    <xf numFmtId="0" fontId="72" fillId="72" borderId="42" applyNumberFormat="0" applyProtection="0">
      <alignment horizontal="left" vertical="center" indent="1"/>
    </xf>
    <xf numFmtId="0" fontId="72" fillId="72" borderId="42" applyNumberFormat="0" applyProtection="0">
      <alignment horizontal="left" vertical="center" indent="1"/>
    </xf>
    <xf numFmtId="0" fontId="72" fillId="72" borderId="42" applyNumberFormat="0" applyProtection="0">
      <alignment horizontal="left" vertical="center" indent="1"/>
    </xf>
    <xf numFmtId="0" fontId="72" fillId="72" borderId="42" applyNumberFormat="0" applyProtection="0">
      <alignment horizontal="left" vertical="top" indent="1"/>
    </xf>
    <xf numFmtId="0" fontId="72" fillId="72" borderId="42" applyNumberFormat="0" applyProtection="0">
      <alignment horizontal="left" vertical="top" indent="1"/>
    </xf>
    <xf numFmtId="0" fontId="72" fillId="72" borderId="42" applyNumberFormat="0" applyProtection="0">
      <alignment horizontal="left" vertical="top" indent="1"/>
    </xf>
    <xf numFmtId="4" fontId="149" fillId="61" borderId="42" applyNumberFormat="0" applyProtection="0">
      <alignment vertical="center"/>
    </xf>
    <xf numFmtId="4" fontId="152" fillId="61" borderId="42" applyNumberFormat="0" applyProtection="0">
      <alignment vertical="center"/>
    </xf>
    <xf numFmtId="4" fontId="149" fillId="61" borderId="42" applyNumberFormat="0" applyProtection="0">
      <alignment horizontal="left" vertical="center" indent="1"/>
    </xf>
    <xf numFmtId="0" fontId="149" fillId="61" borderId="42" applyNumberFormat="0" applyProtection="0">
      <alignment horizontal="left" vertical="top" indent="1"/>
    </xf>
    <xf numFmtId="4" fontId="149" fillId="68" borderId="42" applyNumberFormat="0" applyProtection="0">
      <alignment horizontal="right" vertical="center"/>
    </xf>
    <xf numFmtId="4" fontId="149" fillId="73" borderId="30" applyNumberFormat="0" applyProtection="0">
      <alignment horizontal="right" vertical="center"/>
    </xf>
    <xf numFmtId="4" fontId="152" fillId="68" borderId="42" applyNumberFormat="0" applyProtection="0">
      <alignment horizontal="right" vertical="center"/>
    </xf>
    <xf numFmtId="4" fontId="149" fillId="70" borderId="42" applyNumberFormat="0" applyProtection="0">
      <alignment horizontal="left" vertical="center" indent="1"/>
    </xf>
    <xf numFmtId="0" fontId="149" fillId="65" borderId="42" applyNumberFormat="0" applyProtection="0">
      <alignment horizontal="left" vertical="top" indent="1"/>
    </xf>
    <xf numFmtId="4" fontId="153" fillId="74" borderId="0" applyNumberFormat="0" applyProtection="0">
      <alignment horizontal="left" vertical="center" indent="1"/>
    </xf>
    <xf numFmtId="4" fontId="154" fillId="68" borderId="42" applyNumberFormat="0" applyProtection="0">
      <alignment horizontal="right" vertical="center"/>
    </xf>
    <xf numFmtId="0" fontId="13" fillId="0" borderId="0" applyNumberFormat="0" applyFont="0" applyFill="0" applyBorder="0" applyAlignment="0" applyProtection="0"/>
    <xf numFmtId="0" fontId="155" fillId="0" borderId="0"/>
    <xf numFmtId="0" fontId="151" fillId="0" borderId="0">
      <alignment vertical="top"/>
    </xf>
    <xf numFmtId="0" fontId="156" fillId="0" borderId="44"/>
    <xf numFmtId="187" fontId="113" fillId="0" borderId="4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4" fillId="0" borderId="28"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3" fillId="0" borderId="45"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3" fillId="0" borderId="45"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12" fillId="0" borderId="46" applyNumberFormat="0" applyFill="0" applyAlignment="0" applyProtection="0"/>
    <xf numFmtId="0" fontId="112" fillId="0" borderId="46" applyNumberFormat="0" applyFill="0" applyAlignment="0" applyProtection="0"/>
    <xf numFmtId="0" fontId="112" fillId="0" borderId="46" applyNumberFormat="0" applyFill="0" applyAlignment="0" applyProtection="0"/>
    <xf numFmtId="187" fontId="113" fillId="0" borderId="45" applyNumberFormat="0" applyFill="0" applyAlignment="0" applyProtection="0"/>
    <xf numFmtId="0" fontId="112" fillId="0" borderId="4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3" fillId="0" borderId="45" applyNumberFormat="0" applyFill="0" applyAlignment="0" applyProtection="0"/>
    <xf numFmtId="0" fontId="113" fillId="0" borderId="45" applyNumberFormat="0" applyFill="0" applyAlignment="0" applyProtection="0"/>
    <xf numFmtId="0" fontId="157" fillId="0" borderId="28" applyNumberFormat="0" applyFill="0" applyAlignment="0" applyProtection="0"/>
    <xf numFmtId="0" fontId="13" fillId="0" borderId="0" applyNumberFormat="0" applyFont="0" applyFill="0" applyBorder="0" applyAlignment="0" applyProtection="0"/>
    <xf numFmtId="187" fontId="113" fillId="0" borderId="4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3" fillId="0" borderId="45" applyNumberFormat="0" applyFill="0" applyAlignment="0" applyProtection="0"/>
    <xf numFmtId="0" fontId="113" fillId="0" borderId="45" applyNumberFormat="0" applyFill="0" applyAlignment="0" applyProtection="0"/>
    <xf numFmtId="0" fontId="157" fillId="0" borderId="28" applyNumberFormat="0" applyFill="0" applyAlignment="0" applyProtection="0"/>
    <xf numFmtId="0" fontId="13" fillId="0" borderId="0" applyNumberFormat="0" applyFont="0" applyFill="0" applyBorder="0" applyAlignment="0" applyProtection="0"/>
    <xf numFmtId="0" fontId="14" fillId="0" borderId="28"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0" fontId="13" fillId="0" borderId="28" applyNumberFormat="0" applyFill="0" applyAlignment="0" applyProtection="0"/>
    <xf numFmtId="0" fontId="157" fillId="0" borderId="28" applyNumberFormat="0" applyFill="0" applyAlignment="0" applyProtection="0"/>
    <xf numFmtId="0" fontId="13" fillId="0" borderId="28" applyNumberFormat="0" applyFill="0" applyAlignment="0" applyProtection="0"/>
    <xf numFmtId="187"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6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187" fontId="158" fillId="0" borderId="0" applyNumberFormat="0" applyFill="0" applyBorder="0" applyAlignment="0" applyProtection="0"/>
    <xf numFmtId="0"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3" fillId="0" borderId="0" applyNumberFormat="0" applyFont="0" applyFill="0" applyBorder="0" applyAlignment="0" applyProtection="0"/>
    <xf numFmtId="187" fontId="15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3" fillId="0" borderId="0" applyNumberFormat="0" applyFont="0" applyFill="0" applyBorder="0" applyAlignment="0" applyProtection="0"/>
    <xf numFmtId="0" fontId="63"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187"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187" fontId="161" fillId="0" borderId="0" applyNumberFormat="0" applyFill="0" applyBorder="0" applyAlignment="0" applyProtection="0"/>
    <xf numFmtId="0" fontId="16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187" fontId="161"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3" fillId="0" borderId="0" applyNumberFormat="0" applyFill="0" applyBorder="0" applyAlignment="0" applyProtection="0"/>
    <xf numFmtId="0" fontId="13" fillId="0" borderId="0" applyNumberFormat="0" applyFont="0" applyFill="0" applyBorder="0" applyAlignment="0" applyProtection="0"/>
    <xf numFmtId="0" fontId="62"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6"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7" fontId="164" fillId="0" borderId="0" applyNumberFormat="0" applyFill="0" applyBorder="0" applyAlignment="0" applyProtection="0"/>
    <xf numFmtId="0" fontId="16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187" fontId="164"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3"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3" fontId="168" fillId="0" borderId="0"/>
    <xf numFmtId="208" fontId="139" fillId="0" borderId="0">
      <alignment horizontal="left"/>
    </xf>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187" fontId="72" fillId="42" borderId="4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2" fillId="42" borderId="47"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2" fillId="42" borderId="47"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0" borderId="0" applyNumberFormat="0" applyFont="0" applyFill="0" applyBorder="0" applyAlignment="0" applyProtection="0"/>
    <xf numFmtId="0" fontId="7" fillId="42" borderId="48" applyNumberFormat="0" applyFont="0" applyAlignment="0" applyProtection="0"/>
    <xf numFmtId="0" fontId="7" fillId="42" borderId="48" applyNumberFormat="0" applyFont="0" applyAlignment="0" applyProtection="0"/>
    <xf numFmtId="0" fontId="7" fillId="42" borderId="48"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187" fontId="72" fillId="42" borderId="4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0" applyNumberFormat="0" applyFont="0" applyFill="0" applyBorder="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13" fillId="0" borderId="27" applyNumberFormat="0" applyFont="0" applyFill="0" applyAlignment="0" applyProtection="0"/>
    <xf numFmtId="0" fontId="7" fillId="10" borderId="27" applyNumberFormat="0" applyFont="0" applyAlignment="0" applyProtection="0"/>
    <xf numFmtId="0" fontId="72" fillId="42" borderId="47" applyNumberFormat="0" applyFont="0" applyAlignment="0" applyProtection="0"/>
    <xf numFmtId="0" fontId="7" fillId="10" borderId="27" applyNumberFormat="0" applyFont="0" applyAlignment="0" applyProtection="0"/>
    <xf numFmtId="0" fontId="72" fillId="42" borderId="4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187" fontId="72" fillId="42" borderId="4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72" fillId="42" borderId="47" applyNumberFormat="0" applyFont="0" applyAlignment="0" applyProtection="0"/>
    <xf numFmtId="0" fontId="72" fillId="42" borderId="4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13" fillId="10" borderId="27" applyNumberFormat="0" applyFon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0" borderId="27" applyNumberFormat="0" applyFont="0" applyFill="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13"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0" fontId="6" fillId="10" borderId="27" applyNumberFormat="0" applyFont="0" applyAlignment="0" applyProtection="0"/>
    <xf numFmtId="193" fontId="116" fillId="0" borderId="0"/>
    <xf numFmtId="210" fontId="77" fillId="0" borderId="0" applyFont="0" applyFill="0" applyBorder="0" applyAlignment="0" applyProtection="0"/>
    <xf numFmtId="189" fontId="76" fillId="0" borderId="0" applyFont="0" applyFill="0" applyBorder="0" applyAlignment="0" applyProtection="0"/>
    <xf numFmtId="211" fontId="72" fillId="0" borderId="0" applyFont="0" applyFill="0" applyBorder="0" applyAlignment="0" applyProtection="0"/>
    <xf numFmtId="212" fontId="72" fillId="0" borderId="0" applyFont="0" applyFill="0" applyBorder="0" applyAlignment="0" applyProtection="0"/>
    <xf numFmtId="44" fontId="13"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6" fillId="0" borderId="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4" fontId="13" fillId="0" borderId="0" applyFont="0" applyFill="0" applyBorder="0" applyAlignment="0" applyProtection="0"/>
    <xf numFmtId="44" fontId="6" fillId="0" borderId="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55" fillId="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187" fontId="169" fillId="36"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69" fillId="36" borderId="0" applyNumberFormat="0" applyBorder="0" applyAlignment="0" applyProtection="0"/>
    <xf numFmtId="0" fontId="169" fillId="36" borderId="0" applyNumberFormat="0" applyBorder="0" applyAlignment="0" applyProtection="0"/>
    <xf numFmtId="0" fontId="170" fillId="5" borderId="0" applyNumberFormat="0" applyBorder="0" applyAlignment="0" applyProtection="0"/>
    <xf numFmtId="0" fontId="13" fillId="0" borderId="0" applyNumberFormat="0" applyFont="0" applyFill="0" applyBorder="0" applyAlignment="0" applyProtection="0"/>
    <xf numFmtId="0" fontId="55" fillId="5" borderId="0" applyNumberFormat="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5" borderId="0" applyNumberFormat="0" applyBorder="0" applyAlignment="0" applyProtection="0"/>
    <xf numFmtId="0" fontId="170" fillId="0" borderId="0" applyNumberFormat="0" applyFill="0" applyBorder="0" applyAlignment="0" applyProtection="0"/>
    <xf numFmtId="0" fontId="6" fillId="0" borderId="0"/>
    <xf numFmtId="16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5" fillId="0" borderId="0" applyFont="0" applyFill="0" applyBorder="0" applyAlignment="0" applyProtection="0"/>
    <xf numFmtId="0" fontId="4" fillId="0" borderId="0"/>
    <xf numFmtId="9" fontId="4" fillId="0" borderId="0" applyFont="0" applyFill="0" applyBorder="0" applyAlignment="0" applyProtection="0"/>
    <xf numFmtId="0" fontId="132" fillId="0" borderId="0"/>
    <xf numFmtId="0" fontId="4" fillId="0" borderId="0"/>
    <xf numFmtId="43" fontId="13" fillId="0" borderId="0" applyFont="0" applyFill="0" applyBorder="0" applyAlignment="0" applyProtection="0"/>
    <xf numFmtId="9" fontId="132" fillId="0" borderId="0" applyFont="0" applyFill="0" applyBorder="0" applyAlignment="0" applyProtection="0"/>
  </cellStyleXfs>
  <cellXfs count="1031">
    <xf numFmtId="0" fontId="0" fillId="0" borderId="0" xfId="0"/>
    <xf numFmtId="0" fontId="8" fillId="0" borderId="0" xfId="0" applyFont="1" applyAlignment="1">
      <alignment vertical="center"/>
    </xf>
    <xf numFmtId="0" fontId="15" fillId="2" borderId="0" xfId="0" applyFont="1" applyFill="1" applyAlignment="1">
      <alignment vertical="center"/>
    </xf>
    <xf numFmtId="0" fontId="20" fillId="2" borderId="0" xfId="0" applyFont="1" applyFill="1" applyAlignment="1">
      <alignment vertical="center"/>
    </xf>
    <xf numFmtId="0" fontId="11" fillId="0" borderId="0" xfId="0" applyFont="1" applyAlignment="1">
      <alignment vertical="center"/>
    </xf>
    <xf numFmtId="0" fontId="11" fillId="0" borderId="0" xfId="0" applyFont="1"/>
    <xf numFmtId="0" fontId="11" fillId="2" borderId="0" xfId="0" applyFont="1" applyFill="1" applyAlignment="1">
      <alignment vertical="center"/>
    </xf>
    <xf numFmtId="0" fontId="11" fillId="2" borderId="0" xfId="0" applyFont="1" applyFill="1"/>
    <xf numFmtId="0" fontId="22" fillId="2" borderId="0" xfId="0" applyFont="1" applyFill="1"/>
    <xf numFmtId="0" fontId="27" fillId="2" borderId="0" xfId="0" applyFont="1" applyFill="1" applyAlignment="1">
      <alignment vertical="center"/>
    </xf>
    <xf numFmtId="0" fontId="27" fillId="0" borderId="0" xfId="0" applyFont="1" applyAlignment="1">
      <alignment vertical="center"/>
    </xf>
    <xf numFmtId="0" fontId="14" fillId="2" borderId="0" xfId="0" applyFont="1" applyFill="1" applyAlignment="1">
      <alignment vertical="center"/>
    </xf>
    <xf numFmtId="0" fontId="29" fillId="2" borderId="0" xfId="0" applyFont="1" applyFill="1"/>
    <xf numFmtId="0" fontId="27" fillId="2" borderId="0" xfId="0" applyFont="1" applyFill="1"/>
    <xf numFmtId="0" fontId="27" fillId="0" borderId="0" xfId="0" applyFont="1"/>
    <xf numFmtId="0" fontId="32" fillId="2" borderId="0" xfId="0" applyFont="1" applyFill="1"/>
    <xf numFmtId="170" fontId="11" fillId="2" borderId="0" xfId="0" applyNumberFormat="1" applyFont="1" applyFill="1" applyAlignment="1">
      <alignment vertical="center"/>
    </xf>
    <xf numFmtId="173" fontId="11" fillId="2" borderId="0" xfId="0" applyNumberFormat="1" applyFont="1" applyFill="1" applyAlignment="1">
      <alignment vertical="center"/>
    </xf>
    <xf numFmtId="174" fontId="30" fillId="2" borderId="0" xfId="1" applyNumberFormat="1" applyFont="1" applyFill="1" applyBorder="1" applyAlignment="1">
      <alignment horizontal="right" vertical="center"/>
    </xf>
    <xf numFmtId="174" fontId="11" fillId="2" borderId="0" xfId="0" applyNumberFormat="1" applyFont="1" applyFill="1" applyAlignment="1">
      <alignment vertical="center"/>
    </xf>
    <xf numFmtId="173" fontId="30" fillId="2" borderId="0" xfId="1" applyNumberFormat="1" applyFont="1" applyFill="1" applyBorder="1" applyAlignment="1">
      <alignment horizontal="right" vertical="center"/>
    </xf>
    <xf numFmtId="172" fontId="11" fillId="2" borderId="0" xfId="0" applyNumberFormat="1" applyFont="1" applyFill="1" applyAlignment="1">
      <alignment vertical="center"/>
    </xf>
    <xf numFmtId="173" fontId="32" fillId="2" borderId="0" xfId="0" applyNumberFormat="1" applyFont="1" applyFill="1" applyAlignment="1">
      <alignment vertical="center"/>
    </xf>
    <xf numFmtId="174" fontId="32" fillId="2" borderId="0" xfId="0" applyNumberFormat="1" applyFont="1" applyFill="1" applyAlignment="1">
      <alignment vertical="center"/>
    </xf>
    <xf numFmtId="165" fontId="30" fillId="2" borderId="0" xfId="0" applyNumberFormat="1" applyFont="1" applyFill="1" applyAlignment="1">
      <alignment horizontal="right" vertical="center"/>
    </xf>
    <xf numFmtId="170" fontId="32" fillId="2" borderId="0" xfId="0" applyNumberFormat="1" applyFont="1" applyFill="1" applyAlignment="1">
      <alignment vertical="center"/>
    </xf>
    <xf numFmtId="170" fontId="30" fillId="2" borderId="0" xfId="0" applyNumberFormat="1" applyFont="1" applyFill="1" applyAlignment="1">
      <alignment horizontal="right" vertical="center"/>
    </xf>
    <xf numFmtId="0" fontId="11" fillId="2" borderId="3" xfId="0" applyFont="1" applyFill="1" applyBorder="1" applyAlignment="1">
      <alignment horizontal="left" vertical="center"/>
    </xf>
    <xf numFmtId="0" fontId="11" fillId="2" borderId="0" xfId="0" applyFont="1" applyFill="1" applyAlignment="1">
      <alignment horizontal="left" vertical="center"/>
    </xf>
    <xf numFmtId="0" fontId="31" fillId="2" borderId="3" xfId="0" applyFont="1" applyFill="1" applyBorder="1" applyAlignment="1">
      <alignment horizontal="left" vertical="center" indent="2"/>
    </xf>
    <xf numFmtId="173" fontId="11" fillId="2" borderId="0" xfId="0" applyNumberFormat="1" applyFont="1" applyFill="1" applyAlignment="1">
      <alignment horizontal="right" vertical="center"/>
    </xf>
    <xf numFmtId="174" fontId="30" fillId="2" borderId="3" xfId="1" applyNumberFormat="1" applyFont="1" applyFill="1" applyBorder="1" applyAlignment="1">
      <alignment horizontal="right" vertical="center"/>
    </xf>
    <xf numFmtId="174" fontId="32" fillId="2" borderId="3" xfId="0" applyNumberFormat="1" applyFont="1" applyFill="1" applyBorder="1" applyAlignment="1">
      <alignment vertical="center"/>
    </xf>
    <xf numFmtId="0" fontId="8" fillId="2" borderId="0" xfId="0" applyFont="1" applyFill="1" applyAlignment="1">
      <alignment vertical="center"/>
    </xf>
    <xf numFmtId="181" fontId="30" fillId="2" borderId="0" xfId="1" applyNumberFormat="1" applyFont="1" applyFill="1" applyBorder="1" applyAlignment="1">
      <alignment horizontal="right" vertical="center"/>
    </xf>
    <xf numFmtId="0" fontId="42" fillId="2" borderId="0" xfId="0" applyFont="1" applyFill="1"/>
    <xf numFmtId="177" fontId="42" fillId="2" borderId="0" xfId="0" applyNumberFormat="1" applyFont="1" applyFill="1" applyAlignment="1">
      <alignment horizontal="right" vertical="center"/>
    </xf>
    <xf numFmtId="179" fontId="25" fillId="2" borderId="0" xfId="0" applyNumberFormat="1" applyFont="1" applyFill="1" applyAlignment="1">
      <alignment vertical="center"/>
    </xf>
    <xf numFmtId="0" fontId="42" fillId="2" borderId="0" xfId="0" applyFont="1" applyFill="1" applyAlignment="1">
      <alignment vertical="center"/>
    </xf>
    <xf numFmtId="0" fontId="42" fillId="0" borderId="0" xfId="0" applyFont="1" applyAlignment="1">
      <alignment vertical="center"/>
    </xf>
    <xf numFmtId="173" fontId="11" fillId="2" borderId="3" xfId="0" applyNumberFormat="1" applyFont="1" applyFill="1" applyBorder="1" applyAlignment="1">
      <alignment horizontal="right" vertical="center"/>
    </xf>
    <xf numFmtId="167" fontId="11" fillId="2" borderId="0" xfId="0" applyNumberFormat="1" applyFont="1" applyFill="1" applyAlignment="1">
      <alignment horizontal="right" vertical="center"/>
    </xf>
    <xf numFmtId="167" fontId="11" fillId="2" borderId="3" xfId="0" applyNumberFormat="1" applyFont="1" applyFill="1" applyBorder="1" applyAlignment="1">
      <alignment horizontal="right" vertical="center"/>
    </xf>
    <xf numFmtId="184" fontId="11" fillId="2" borderId="0" xfId="0" applyNumberFormat="1" applyFont="1" applyFill="1" applyAlignment="1">
      <alignment horizontal="right" vertical="center"/>
    </xf>
    <xf numFmtId="167" fontId="11" fillId="2" borderId="0" xfId="0" applyNumberFormat="1" applyFont="1" applyFill="1" applyAlignment="1">
      <alignment vertical="center"/>
    </xf>
    <xf numFmtId="182" fontId="11" fillId="2" borderId="0" xfId="0" applyNumberFormat="1" applyFont="1" applyFill="1" applyAlignment="1">
      <alignment horizontal="right" vertical="center"/>
    </xf>
    <xf numFmtId="182" fontId="42" fillId="2" borderId="0" xfId="0" applyNumberFormat="1" applyFont="1" applyFill="1" applyAlignment="1">
      <alignment horizontal="right" vertical="center"/>
    </xf>
    <xf numFmtId="0" fontId="11" fillId="2" borderId="0" xfId="0" applyFont="1" applyFill="1" applyAlignment="1">
      <alignment horizontal="right" vertical="center"/>
    </xf>
    <xf numFmtId="0" fontId="44" fillId="2" borderId="0" xfId="0" applyFont="1" applyFill="1"/>
    <xf numFmtId="0" fontId="11" fillId="0" borderId="3" xfId="0" applyFont="1" applyBorder="1" applyAlignment="1">
      <alignment horizontal="left" vertical="center" wrapText="1"/>
    </xf>
    <xf numFmtId="171" fontId="11" fillId="0" borderId="0" xfId="0" applyNumberFormat="1" applyFont="1" applyAlignment="1">
      <alignment horizontal="right" vertical="center"/>
    </xf>
    <xf numFmtId="171" fontId="11" fillId="0" borderId="3" xfId="0" applyNumberFormat="1" applyFont="1" applyBorder="1" applyAlignment="1">
      <alignment horizontal="right" vertical="center"/>
    </xf>
    <xf numFmtId="176" fontId="47" fillId="0" borderId="0" xfId="0" applyNumberFormat="1" applyFont="1" applyAlignment="1">
      <alignment horizontal="right" vertical="center"/>
    </xf>
    <xf numFmtId="0" fontId="22" fillId="0" borderId="0" xfId="0" applyFont="1"/>
    <xf numFmtId="177" fontId="11" fillId="0" borderId="0" xfId="0" applyNumberFormat="1" applyFont="1" applyAlignment="1">
      <alignment horizontal="right" vertical="center"/>
    </xf>
    <xf numFmtId="177" fontId="11" fillId="0" borderId="3" xfId="0" applyNumberFormat="1" applyFont="1" applyBorder="1" applyAlignment="1">
      <alignment horizontal="right" vertical="center"/>
    </xf>
    <xf numFmtId="177" fontId="11" fillId="2" borderId="0" xfId="0" applyNumberFormat="1" applyFont="1" applyFill="1" applyAlignment="1">
      <alignment horizontal="right" vertical="center"/>
    </xf>
    <xf numFmtId="176" fontId="30" fillId="0" borderId="0" xfId="0" applyNumberFormat="1" applyFont="1" applyAlignment="1">
      <alignment horizontal="right" vertical="center"/>
    </xf>
    <xf numFmtId="0" fontId="46" fillId="0" borderId="3" xfId="0" applyFont="1" applyBorder="1" applyAlignment="1">
      <alignment vertical="center"/>
    </xf>
    <xf numFmtId="179" fontId="22" fillId="0" borderId="0" xfId="0" applyNumberFormat="1" applyFont="1" applyAlignment="1">
      <alignment horizontal="right" vertical="center"/>
    </xf>
    <xf numFmtId="179" fontId="11" fillId="0" borderId="3" xfId="0" applyNumberFormat="1" applyFont="1" applyBorder="1" applyAlignment="1">
      <alignment horizontal="right" vertical="center"/>
    </xf>
    <xf numFmtId="179" fontId="22" fillId="0" borderId="3" xfId="0" applyNumberFormat="1" applyFont="1" applyBorder="1" applyAlignment="1">
      <alignment horizontal="right" vertical="center"/>
    </xf>
    <xf numFmtId="179" fontId="33" fillId="0" borderId="0" xfId="0" applyNumberFormat="1" applyFont="1" applyAlignment="1">
      <alignment horizontal="right" vertical="center"/>
    </xf>
    <xf numFmtId="179" fontId="22" fillId="2" borderId="0" xfId="0" applyNumberFormat="1" applyFont="1" applyFill="1" applyAlignment="1">
      <alignment horizontal="right" vertical="center"/>
    </xf>
    <xf numFmtId="0" fontId="11" fillId="0" borderId="0" xfId="0" applyFont="1" applyAlignment="1">
      <alignment horizontal="right" vertical="center"/>
    </xf>
    <xf numFmtId="0" fontId="14" fillId="0" borderId="0" xfId="0" applyFont="1" applyAlignment="1">
      <alignment vertical="center"/>
    </xf>
    <xf numFmtId="174" fontId="32" fillId="0" borderId="0" xfId="0" applyNumberFormat="1" applyFont="1" applyAlignment="1">
      <alignment vertical="center"/>
    </xf>
    <xf numFmtId="182" fontId="11" fillId="0" borderId="9" xfId="0" applyNumberFormat="1" applyFont="1" applyBorder="1" applyAlignment="1">
      <alignment vertical="center"/>
    </xf>
    <xf numFmtId="182" fontId="11" fillId="0" borderId="0" xfId="0" applyNumberFormat="1" applyFont="1" applyAlignment="1">
      <alignment vertical="center"/>
    </xf>
    <xf numFmtId="183" fontId="11" fillId="0" borderId="0" xfId="0" applyNumberFormat="1" applyFont="1" applyAlignment="1">
      <alignment vertical="center"/>
    </xf>
    <xf numFmtId="0" fontId="11" fillId="0" borderId="3" xfId="0" applyFont="1" applyBorder="1" applyAlignment="1">
      <alignment vertical="center" wrapText="1"/>
    </xf>
    <xf numFmtId="182" fontId="42" fillId="2" borderId="3" xfId="0" applyNumberFormat="1" applyFont="1" applyFill="1" applyBorder="1" applyAlignment="1">
      <alignment horizontal="right" vertical="center"/>
    </xf>
    <xf numFmtId="177" fontId="42" fillId="2" borderId="3" xfId="0" applyNumberFormat="1" applyFont="1" applyFill="1" applyBorder="1" applyAlignment="1">
      <alignment horizontal="right" vertical="center"/>
    </xf>
    <xf numFmtId="179" fontId="22" fillId="2" borderId="3" xfId="0" applyNumberFormat="1" applyFont="1" applyFill="1" applyBorder="1" applyAlignment="1">
      <alignment horizontal="right" vertical="center"/>
    </xf>
    <xf numFmtId="182" fontId="22" fillId="2" borderId="0" xfId="0" applyNumberFormat="1" applyFont="1" applyFill="1" applyAlignment="1">
      <alignment vertical="center"/>
    </xf>
    <xf numFmtId="182" fontId="42" fillId="0" borderId="0" xfId="0" applyNumberFormat="1" applyFont="1" applyAlignment="1">
      <alignment horizontal="right" vertical="center"/>
    </xf>
    <xf numFmtId="0" fontId="47" fillId="0" borderId="0" xfId="0" applyFont="1" applyAlignment="1">
      <alignment vertical="center" wrapText="1"/>
    </xf>
    <xf numFmtId="169" fontId="11" fillId="2" borderId="0" xfId="7" applyNumberFormat="1" applyFont="1" applyFill="1" applyAlignment="1">
      <alignment vertical="center"/>
    </xf>
    <xf numFmtId="3" fontId="36" fillId="0" borderId="0" xfId="0" applyNumberFormat="1" applyFont="1" applyAlignment="1">
      <alignment horizontal="right" vertical="center" wrapText="1"/>
    </xf>
    <xf numFmtId="3" fontId="19" fillId="0" borderId="0" xfId="0" applyNumberFormat="1" applyFont="1" applyAlignment="1">
      <alignment horizontal="right" vertical="center" wrapText="1"/>
    </xf>
    <xf numFmtId="3" fontId="19" fillId="0" borderId="19" xfId="0" applyNumberFormat="1" applyFont="1" applyBorder="1" applyAlignment="1">
      <alignment horizontal="right" vertical="center" wrapText="1"/>
    </xf>
    <xf numFmtId="169" fontId="19" fillId="0" borderId="0" xfId="0" applyNumberFormat="1" applyFont="1" applyAlignment="1">
      <alignment horizontal="right" vertical="center" wrapText="1"/>
    </xf>
    <xf numFmtId="3" fontId="39" fillId="0" borderId="0" xfId="6" applyNumberFormat="1" applyFont="1" applyFill="1" applyBorder="1" applyAlignment="1">
      <alignment horizontal="right" vertical="center" wrapText="1"/>
    </xf>
    <xf numFmtId="3" fontId="19" fillId="0" borderId="0" xfId="6" applyNumberFormat="1" applyFont="1" applyFill="1" applyBorder="1" applyAlignment="1">
      <alignment horizontal="right" vertical="center" wrapText="1"/>
    </xf>
    <xf numFmtId="185" fontId="42" fillId="2" borderId="0" xfId="0" applyNumberFormat="1" applyFont="1" applyFill="1" applyAlignment="1">
      <alignment horizontal="right" vertical="center"/>
    </xf>
    <xf numFmtId="181" fontId="30" fillId="2" borderId="0" xfId="8" applyNumberFormat="1" applyFont="1" applyFill="1" applyBorder="1" applyAlignment="1">
      <alignment horizontal="right" vertical="center"/>
    </xf>
    <xf numFmtId="181" fontId="11" fillId="2" borderId="0" xfId="0" applyNumberFormat="1" applyFont="1" applyFill="1" applyAlignment="1">
      <alignment vertical="center"/>
    </xf>
    <xf numFmtId="181" fontId="32" fillId="2" borderId="0" xfId="0" applyNumberFormat="1" applyFont="1" applyFill="1" applyAlignment="1">
      <alignment vertical="center"/>
    </xf>
    <xf numFmtId="3" fontId="39" fillId="0" borderId="0" xfId="0" applyNumberFormat="1" applyFont="1" applyAlignment="1">
      <alignment horizontal="right" vertical="center" wrapText="1"/>
    </xf>
    <xf numFmtId="167" fontId="19" fillId="0" borderId="0" xfId="0" applyNumberFormat="1" applyFont="1" applyAlignment="1">
      <alignment horizontal="right" vertical="center" wrapText="1"/>
    </xf>
    <xf numFmtId="182" fontId="11" fillId="2" borderId="0" xfId="0" applyNumberFormat="1" applyFont="1" applyFill="1" applyAlignment="1">
      <alignment vertical="center"/>
    </xf>
    <xf numFmtId="182" fontId="24" fillId="2" borderId="0" xfId="0" applyNumberFormat="1" applyFont="1" applyFill="1" applyAlignment="1">
      <alignment horizontal="right" vertical="center"/>
    </xf>
    <xf numFmtId="182" fontId="24" fillId="0" borderId="0" xfId="0" applyNumberFormat="1" applyFont="1" applyAlignment="1">
      <alignment horizontal="right" vertical="center"/>
    </xf>
    <xf numFmtId="182" fontId="22" fillId="0" borderId="0" xfId="0" applyNumberFormat="1" applyFont="1" applyAlignment="1">
      <alignment vertical="center"/>
    </xf>
    <xf numFmtId="3" fontId="48" fillId="2" borderId="0" xfId="0" applyNumberFormat="1" applyFont="1" applyFill="1" applyAlignment="1">
      <alignment horizontal="right" vertical="center" wrapText="1"/>
    </xf>
    <xf numFmtId="177" fontId="49" fillId="2" borderId="0" xfId="0" applyNumberFormat="1" applyFont="1" applyFill="1" applyAlignment="1">
      <alignment horizontal="right" vertical="center"/>
    </xf>
    <xf numFmtId="186" fontId="25" fillId="2" borderId="0" xfId="0" applyNumberFormat="1" applyFont="1" applyFill="1" applyAlignment="1">
      <alignment horizontal="right" vertical="center"/>
    </xf>
    <xf numFmtId="0" fontId="50" fillId="2" borderId="0" xfId="0" applyFont="1" applyFill="1"/>
    <xf numFmtId="0" fontId="30" fillId="2" borderId="0" xfId="0" applyFont="1" applyFill="1" applyAlignment="1">
      <alignment vertical="center"/>
    </xf>
    <xf numFmtId="0" fontId="30" fillId="2" borderId="0" xfId="0" applyFont="1" applyFill="1"/>
    <xf numFmtId="0" fontId="30" fillId="0" borderId="0" xfId="0" applyFont="1" applyAlignment="1">
      <alignment vertical="center"/>
    </xf>
    <xf numFmtId="171" fontId="11" fillId="2" borderId="3" xfId="0" applyNumberFormat="1" applyFont="1" applyFill="1" applyBorder="1" applyAlignment="1">
      <alignment horizontal="right" vertical="center"/>
    </xf>
    <xf numFmtId="177" fontId="11" fillId="2" borderId="3" xfId="0" applyNumberFormat="1" applyFont="1" applyFill="1" applyBorder="1" applyAlignment="1">
      <alignment horizontal="right" vertical="center"/>
    </xf>
    <xf numFmtId="171" fontId="42" fillId="2" borderId="3" xfId="0" applyNumberFormat="1" applyFont="1" applyFill="1" applyBorder="1" applyAlignment="1">
      <alignment horizontal="right" vertical="center"/>
    </xf>
    <xf numFmtId="0" fontId="30" fillId="0" borderId="3" xfId="0" applyFont="1" applyBorder="1" applyAlignment="1">
      <alignment horizontal="left" vertical="center" wrapText="1"/>
    </xf>
    <xf numFmtId="177" fontId="30" fillId="0" borderId="0" xfId="0" applyNumberFormat="1" applyFont="1" applyAlignment="1">
      <alignment horizontal="right" vertical="center"/>
    </xf>
    <xf numFmtId="177" fontId="30" fillId="0" borderId="3" xfId="0" applyNumberFormat="1" applyFont="1" applyBorder="1" applyAlignment="1">
      <alignment horizontal="right" vertical="center"/>
    </xf>
    <xf numFmtId="177" fontId="30" fillId="2" borderId="0" xfId="0" applyNumberFormat="1" applyFont="1" applyFill="1" applyAlignment="1">
      <alignment horizontal="right" vertical="center"/>
    </xf>
    <xf numFmtId="177" fontId="30" fillId="2" borderId="3" xfId="0" applyNumberFormat="1" applyFont="1" applyFill="1" applyBorder="1" applyAlignment="1">
      <alignment horizontal="right" vertical="center"/>
    </xf>
    <xf numFmtId="0" fontId="30" fillId="0" borderId="0" xfId="0" applyFont="1"/>
    <xf numFmtId="0" fontId="30" fillId="2" borderId="3" xfId="0" applyFont="1" applyFill="1" applyBorder="1" applyAlignment="1">
      <alignment horizontal="left" vertical="center"/>
    </xf>
    <xf numFmtId="0" fontId="29" fillId="2" borderId="0" xfId="0" applyFont="1" applyFill="1" applyAlignment="1">
      <alignment horizontal="left" vertical="top" wrapText="1"/>
    </xf>
    <xf numFmtId="185" fontId="26" fillId="2" borderId="16" xfId="0" applyNumberFormat="1" applyFont="1" applyFill="1" applyBorder="1" applyAlignment="1">
      <alignment vertical="center" wrapText="1"/>
    </xf>
    <xf numFmtId="185" fontId="26" fillId="2" borderId="16" xfId="0" applyNumberFormat="1" applyFont="1" applyFill="1" applyBorder="1" applyAlignment="1">
      <alignment wrapText="1"/>
    </xf>
    <xf numFmtId="185" fontId="49" fillId="2" borderId="16" xfId="0" applyNumberFormat="1" applyFont="1" applyFill="1" applyBorder="1" applyAlignment="1">
      <alignment vertical="center" wrapText="1"/>
    </xf>
    <xf numFmtId="185" fontId="26" fillId="0" borderId="16" xfId="0" applyNumberFormat="1" applyFont="1" applyBorder="1" applyAlignment="1">
      <alignment vertical="center" wrapText="1"/>
    </xf>
    <xf numFmtId="185" fontId="23" fillId="2" borderId="16" xfId="0" applyNumberFormat="1" applyFont="1" applyFill="1" applyBorder="1" applyAlignment="1">
      <alignment vertical="center"/>
    </xf>
    <xf numFmtId="0" fontId="11" fillId="2" borderId="0" xfId="0" applyFont="1" applyFill="1" applyAlignment="1">
      <alignment vertical="center" wrapText="1"/>
    </xf>
    <xf numFmtId="185" fontId="11" fillId="0" borderId="0" xfId="0" applyNumberFormat="1" applyFont="1" applyAlignment="1">
      <alignment vertical="center"/>
    </xf>
    <xf numFmtId="185" fontId="11" fillId="0" borderId="0" xfId="0" applyNumberFormat="1" applyFont="1" applyAlignment="1">
      <alignment horizontal="right" vertical="center"/>
    </xf>
    <xf numFmtId="185" fontId="11" fillId="2" borderId="0" xfId="0" applyNumberFormat="1" applyFont="1" applyFill="1" applyAlignment="1">
      <alignment vertical="center"/>
    </xf>
    <xf numFmtId="185" fontId="11" fillId="2" borderId="0" xfId="0" applyNumberFormat="1" applyFont="1" applyFill="1" applyAlignment="1">
      <alignment horizontal="left" vertical="center" wrapText="1"/>
    </xf>
    <xf numFmtId="185" fontId="11" fillId="0" borderId="0" xfId="0" applyNumberFormat="1" applyFont="1" applyAlignment="1">
      <alignment horizontal="left" vertical="center" wrapText="1"/>
    </xf>
    <xf numFmtId="0" fontId="29" fillId="2" borderId="0" xfId="0" applyFont="1" applyFill="1" applyAlignment="1">
      <alignment vertical="top" wrapText="1"/>
    </xf>
    <xf numFmtId="0" fontId="42" fillId="2" borderId="0" xfId="0" applyFont="1" applyFill="1" applyAlignment="1">
      <alignment horizontal="left" vertical="center"/>
    </xf>
    <xf numFmtId="0" fontId="26" fillId="2" borderId="16" xfId="0" applyFont="1" applyFill="1" applyBorder="1" applyAlignment="1">
      <alignment vertical="center"/>
    </xf>
    <xf numFmtId="0" fontId="42" fillId="2" borderId="16" xfId="0" applyFont="1" applyFill="1" applyBorder="1" applyAlignment="1">
      <alignment horizontal="left" vertical="center"/>
    </xf>
    <xf numFmtId="0" fontId="49" fillId="2" borderId="16" xfId="0" applyFont="1" applyFill="1" applyBorder="1" applyAlignment="1">
      <alignment vertical="center"/>
    </xf>
    <xf numFmtId="0" fontId="26" fillId="0" borderId="16" xfId="0" applyFont="1" applyBorder="1" applyAlignment="1">
      <alignment vertical="center"/>
    </xf>
    <xf numFmtId="0" fontId="31" fillId="2" borderId="16" xfId="0" applyFont="1" applyFill="1" applyBorder="1" applyAlignment="1">
      <alignment horizontal="left" vertical="center" indent="3"/>
    </xf>
    <xf numFmtId="169" fontId="46" fillId="0" borderId="0" xfId="2" applyNumberFormat="1" applyFont="1" applyFill="1" applyBorder="1" applyAlignment="1">
      <alignment vertical="center" wrapText="1"/>
    </xf>
    <xf numFmtId="169" fontId="46" fillId="0" borderId="3" xfId="2" applyNumberFormat="1" applyFont="1" applyFill="1" applyBorder="1" applyAlignment="1">
      <alignment vertical="center" wrapText="1"/>
    </xf>
    <xf numFmtId="169" fontId="23" fillId="0" borderId="0" xfId="2" applyNumberFormat="1" applyFont="1" applyFill="1" applyBorder="1" applyAlignment="1">
      <alignment vertical="center" wrapText="1"/>
    </xf>
    <xf numFmtId="0" fontId="176" fillId="0" borderId="16" xfId="0" applyFont="1" applyBorder="1" applyAlignment="1">
      <alignment vertical="center" wrapText="1"/>
    </xf>
    <xf numFmtId="0" fontId="11" fillId="0" borderId="0" xfId="0" applyFont="1" applyAlignment="1">
      <alignment vertical="center" wrapText="1"/>
    </xf>
    <xf numFmtId="0" fontId="0" fillId="2" borderId="0" xfId="0" applyFill="1"/>
    <xf numFmtId="10" fontId="179" fillId="0" borderId="0" xfId="0" applyNumberFormat="1" applyFont="1" applyAlignment="1">
      <alignment horizontal="right" vertical="center" wrapText="1"/>
    </xf>
    <xf numFmtId="0" fontId="180" fillId="0" borderId="0" xfId="0" applyFont="1"/>
    <xf numFmtId="0" fontId="181" fillId="2" borderId="16" xfId="0" applyFont="1" applyFill="1" applyBorder="1" applyAlignment="1">
      <alignment vertical="center" wrapText="1"/>
    </xf>
    <xf numFmtId="3" fontId="172" fillId="0" borderId="0" xfId="0" applyNumberFormat="1" applyFont="1" applyAlignment="1">
      <alignment horizontal="right" vertical="center" wrapText="1"/>
    </xf>
    <xf numFmtId="10" fontId="48" fillId="0" borderId="0" xfId="7" applyNumberFormat="1" applyFont="1" applyFill="1" applyBorder="1" applyAlignment="1">
      <alignment horizontal="right" vertical="center" wrapText="1"/>
    </xf>
    <xf numFmtId="10" fontId="48" fillId="2" borderId="0" xfId="7" applyNumberFormat="1" applyFont="1" applyFill="1" applyBorder="1" applyAlignment="1">
      <alignment horizontal="right" vertical="center" wrapText="1"/>
    </xf>
    <xf numFmtId="3" fontId="48" fillId="2" borderId="31" xfId="7" applyNumberFormat="1" applyFont="1" applyFill="1" applyBorder="1" applyAlignment="1">
      <alignment horizontal="right" vertical="center" wrapText="1"/>
    </xf>
    <xf numFmtId="3" fontId="48" fillId="0" borderId="31" xfId="7" applyNumberFormat="1" applyFont="1" applyFill="1" applyBorder="1" applyAlignment="1">
      <alignment horizontal="right" vertical="center" wrapText="1"/>
    </xf>
    <xf numFmtId="3" fontId="48" fillId="0" borderId="31" xfId="0" applyNumberFormat="1" applyFont="1" applyBorder="1" applyAlignment="1">
      <alignment horizontal="right" vertical="center" wrapText="1"/>
    </xf>
    <xf numFmtId="3" fontId="48" fillId="0" borderId="0" xfId="0" applyNumberFormat="1" applyFont="1" applyAlignment="1">
      <alignment horizontal="right" vertical="center" wrapText="1"/>
    </xf>
    <xf numFmtId="3" fontId="179" fillId="0" borderId="0" xfId="0" applyNumberFormat="1" applyFont="1" applyAlignment="1">
      <alignment vertical="center" wrapText="1"/>
    </xf>
    <xf numFmtId="3" fontId="0" fillId="0" borderId="0" xfId="0" applyNumberFormat="1"/>
    <xf numFmtId="0" fontId="29" fillId="0" borderId="0" xfId="0" applyFont="1" applyAlignment="1">
      <alignment horizontal="left" vertical="top" wrapText="1"/>
    </xf>
    <xf numFmtId="0" fontId="29" fillId="2" borderId="0" xfId="0" applyFont="1" applyFill="1" applyAlignment="1">
      <alignment horizontal="left" vertical="top"/>
    </xf>
    <xf numFmtId="0" fontId="0" fillId="2" borderId="0" xfId="0" applyFill="1" applyAlignment="1">
      <alignment wrapText="1"/>
    </xf>
    <xf numFmtId="0" fontId="183" fillId="2" borderId="0" xfId="0" applyFont="1" applyFill="1" applyAlignment="1">
      <alignment vertical="center"/>
    </xf>
    <xf numFmtId="0" fontId="14" fillId="0" borderId="15" xfId="0" applyFont="1" applyBorder="1" applyAlignment="1">
      <alignment vertical="center"/>
    </xf>
    <xf numFmtId="3" fontId="179" fillId="2" borderId="0" xfId="0" applyNumberFormat="1" applyFont="1" applyFill="1" applyAlignment="1">
      <alignment horizontal="right" vertical="center" wrapText="1"/>
    </xf>
    <xf numFmtId="3" fontId="179" fillId="0" borderId="0" xfId="0" applyNumberFormat="1" applyFont="1" applyAlignment="1">
      <alignment horizontal="right" vertical="center" wrapText="1"/>
    </xf>
    <xf numFmtId="170" fontId="185" fillId="2" borderId="0" xfId="0" applyNumberFormat="1" applyFont="1" applyFill="1" applyAlignment="1">
      <alignment horizontal="right" vertical="center" wrapText="1"/>
    </xf>
    <xf numFmtId="170" fontId="179" fillId="2" borderId="0" xfId="0" applyNumberFormat="1" applyFont="1" applyFill="1" applyAlignment="1">
      <alignment horizontal="right" vertical="center" wrapText="1"/>
    </xf>
    <xf numFmtId="0" fontId="157" fillId="2" borderId="0" xfId="0" applyFont="1" applyFill="1" applyAlignment="1">
      <alignment vertical="center"/>
    </xf>
    <xf numFmtId="170" fontId="48" fillId="2" borderId="0" xfId="0" applyNumberFormat="1" applyFont="1" applyFill="1" applyAlignment="1">
      <alignment horizontal="right" vertical="center" wrapText="1"/>
    </xf>
    <xf numFmtId="0" fontId="0" fillId="2" borderId="0" xfId="0" applyFill="1" applyAlignment="1">
      <alignment vertical="center"/>
    </xf>
    <xf numFmtId="0" fontId="179" fillId="2" borderId="0" xfId="0" applyFont="1" applyFill="1" applyAlignment="1">
      <alignment vertical="center"/>
    </xf>
    <xf numFmtId="3" fontId="185" fillId="2" borderId="0" xfId="0" applyNumberFormat="1" applyFont="1" applyFill="1" applyAlignment="1">
      <alignment horizontal="right" vertical="center" wrapText="1"/>
    </xf>
    <xf numFmtId="0" fontId="157" fillId="2" borderId="0" xfId="0" applyFont="1" applyFill="1"/>
    <xf numFmtId="170" fontId="179" fillId="0" borderId="0" xfId="0" applyNumberFormat="1" applyFont="1" applyAlignment="1">
      <alignment horizontal="right" vertical="center" wrapText="1"/>
    </xf>
    <xf numFmtId="170" fontId="48" fillId="0" borderId="0" xfId="0" applyNumberFormat="1" applyFont="1" applyAlignment="1">
      <alignment horizontal="right" vertical="center" wrapText="1"/>
    </xf>
    <xf numFmtId="0" fontId="5" fillId="2" borderId="0" xfId="0" applyFont="1" applyFill="1"/>
    <xf numFmtId="0" fontId="5" fillId="0" borderId="0" xfId="0" applyFont="1"/>
    <xf numFmtId="0" fontId="5" fillId="2" borderId="0" xfId="0" applyFont="1" applyFill="1" applyAlignment="1">
      <alignment vertical="center"/>
    </xf>
    <xf numFmtId="169" fontId="62" fillId="0" borderId="0" xfId="0" applyNumberFormat="1" applyFont="1"/>
    <xf numFmtId="0" fontId="48" fillId="0" borderId="0" xfId="0" applyFont="1" applyAlignment="1">
      <alignment wrapText="1"/>
    </xf>
    <xf numFmtId="0" fontId="61" fillId="0" borderId="0" xfId="0" applyFont="1" applyAlignment="1">
      <alignment vertical="center"/>
    </xf>
    <xf numFmtId="0" fontId="61" fillId="0" borderId="0" xfId="0" applyFont="1"/>
    <xf numFmtId="170" fontId="48" fillId="0" borderId="0" xfId="0" applyNumberFormat="1" applyFont="1"/>
    <xf numFmtId="170" fontId="61" fillId="0" borderId="0" xfId="0" applyNumberFormat="1" applyFont="1"/>
    <xf numFmtId="170" fontId="64" fillId="0" borderId="0" xfId="0" applyNumberFormat="1" applyFont="1"/>
    <xf numFmtId="0" fontId="19" fillId="2" borderId="0" xfId="0" applyFont="1" applyFill="1" applyAlignment="1">
      <alignment horizontal="left" vertical="top" wrapText="1"/>
    </xf>
    <xf numFmtId="0" fontId="11" fillId="2" borderId="3" xfId="0" applyFont="1" applyFill="1" applyBorder="1" applyAlignment="1">
      <alignment horizontal="left" vertical="center" wrapText="1"/>
    </xf>
    <xf numFmtId="0" fontId="42" fillId="2" borderId="0" xfId="0" applyFont="1" applyFill="1" applyAlignment="1">
      <alignment horizontal="left" vertical="top" wrapText="1"/>
    </xf>
    <xf numFmtId="0" fontId="42" fillId="2" borderId="0" xfId="0" applyFont="1" applyFill="1" applyAlignment="1">
      <alignment vertical="top" wrapText="1"/>
    </xf>
    <xf numFmtId="0" fontId="11" fillId="2" borderId="0" xfId="0" applyFont="1" applyFill="1" applyAlignment="1">
      <alignment vertical="top"/>
    </xf>
    <xf numFmtId="0" fontId="42" fillId="0" borderId="0" xfId="0" applyFont="1" applyAlignment="1">
      <alignment horizontal="left" vertical="top" wrapText="1"/>
    </xf>
    <xf numFmtId="0" fontId="42" fillId="2" borderId="0" xfId="0" applyFont="1" applyFill="1" applyAlignment="1">
      <alignment vertical="top"/>
    </xf>
    <xf numFmtId="0" fontId="11" fillId="2" borderId="0" xfId="0" applyFont="1" applyFill="1" applyAlignment="1">
      <alignment horizontal="left" vertical="top" wrapText="1"/>
    </xf>
    <xf numFmtId="168" fontId="42" fillId="2" borderId="0" xfId="0" applyNumberFormat="1" applyFont="1" applyFill="1" applyAlignment="1">
      <alignment horizontal="left" vertical="top" wrapText="1"/>
    </xf>
    <xf numFmtId="168" fontId="11" fillId="2" borderId="0" xfId="0" applyNumberFormat="1" applyFont="1" applyFill="1" applyAlignment="1">
      <alignment horizontal="left" vertical="top" wrapText="1"/>
    </xf>
    <xf numFmtId="0" fontId="29" fillId="0" borderId="0" xfId="0" applyFont="1" applyAlignment="1">
      <alignment vertical="top" wrapText="1"/>
    </xf>
    <xf numFmtId="49" fontId="188" fillId="0" borderId="0" xfId="0" applyNumberFormat="1" applyFont="1"/>
    <xf numFmtId="0" fontId="181" fillId="2" borderId="16" xfId="0" applyFont="1" applyFill="1" applyBorder="1" applyAlignment="1">
      <alignment horizontal="left" vertical="center" wrapText="1" indent="2"/>
    </xf>
    <xf numFmtId="10" fontId="48" fillId="0" borderId="0" xfId="0" applyNumberFormat="1" applyFont="1" applyAlignment="1">
      <alignment horizontal="right" vertical="center" wrapText="1"/>
    </xf>
    <xf numFmtId="0" fontId="181" fillId="2" borderId="16" xfId="0" applyFont="1" applyFill="1" applyBorder="1" applyAlignment="1">
      <alignment horizontal="left" vertical="center" wrapText="1" indent="3"/>
    </xf>
    <xf numFmtId="0" fontId="11" fillId="2" borderId="0" xfId="0" applyFont="1" applyFill="1" applyAlignment="1">
      <alignment horizontal="left" vertical="center" wrapText="1"/>
    </xf>
    <xf numFmtId="10" fontId="0" fillId="0" borderId="0" xfId="0" applyNumberFormat="1"/>
    <xf numFmtId="10" fontId="0" fillId="2" borderId="0" xfId="0" applyNumberFormat="1" applyFill="1"/>
    <xf numFmtId="0" fontId="26" fillId="2" borderId="16" xfId="0" applyFont="1" applyFill="1" applyBorder="1" applyAlignment="1">
      <alignment vertical="center" wrapText="1"/>
    </xf>
    <xf numFmtId="0" fontId="30" fillId="0" borderId="3" xfId="0" applyFont="1" applyBorder="1" applyAlignment="1">
      <alignment vertical="center" wrapText="1"/>
    </xf>
    <xf numFmtId="181" fontId="32" fillId="0" borderId="0" xfId="0" applyNumberFormat="1" applyFont="1" applyAlignment="1">
      <alignment vertical="center"/>
    </xf>
    <xf numFmtId="181" fontId="32" fillId="0" borderId="0" xfId="0" applyNumberFormat="1" applyFont="1" applyAlignment="1">
      <alignment horizontal="right" vertical="center"/>
    </xf>
    <xf numFmtId="0" fontId="46" fillId="77" borderId="6" xfId="0" applyFont="1" applyFill="1" applyBorder="1" applyAlignment="1">
      <alignment vertical="center" wrapText="1"/>
    </xf>
    <xf numFmtId="0" fontId="43" fillId="2" borderId="0" xfId="0" applyFont="1" applyFill="1" applyAlignment="1">
      <alignment horizontal="center" vertical="center"/>
    </xf>
    <xf numFmtId="170" fontId="176" fillId="80" borderId="9" xfId="0" applyNumberFormat="1" applyFont="1" applyFill="1" applyBorder="1" applyAlignment="1">
      <alignment vertical="center" wrapText="1"/>
    </xf>
    <xf numFmtId="182" fontId="176" fillId="80" borderId="9" xfId="0" applyNumberFormat="1" applyFont="1" applyFill="1" applyBorder="1" applyAlignment="1">
      <alignment vertical="center" wrapText="1"/>
    </xf>
    <xf numFmtId="182" fontId="46" fillId="80" borderId="9" xfId="0" applyNumberFormat="1" applyFont="1" applyFill="1" applyBorder="1" applyAlignment="1">
      <alignment vertical="center" wrapText="1"/>
    </xf>
    <xf numFmtId="0" fontId="193" fillId="75" borderId="4" xfId="0" applyFont="1" applyFill="1" applyBorder="1" applyAlignment="1">
      <alignment vertical="center" wrapText="1"/>
    </xf>
    <xf numFmtId="0" fontId="193" fillId="75" borderId="15" xfId="0" applyFont="1" applyFill="1" applyBorder="1" applyAlignment="1">
      <alignment vertical="center" wrapText="1"/>
    </xf>
    <xf numFmtId="0" fontId="193" fillId="75" borderId="5" xfId="0" applyFont="1" applyFill="1" applyBorder="1" applyAlignment="1">
      <alignment vertical="center" wrapText="1"/>
    </xf>
    <xf numFmtId="0" fontId="193" fillId="75" borderId="17" xfId="0" applyFont="1" applyFill="1" applyBorder="1" applyAlignment="1">
      <alignment vertical="center" wrapText="1"/>
    </xf>
    <xf numFmtId="0" fontId="11" fillId="0" borderId="9" xfId="0" applyFont="1" applyBorder="1" applyAlignment="1">
      <alignment horizontal="left" vertical="center"/>
    </xf>
    <xf numFmtId="170" fontId="173" fillId="0" borderId="0" xfId="0" applyNumberFormat="1" applyFont="1" applyAlignment="1">
      <alignment horizontal="right" vertical="center"/>
    </xf>
    <xf numFmtId="173" fontId="11" fillId="2" borderId="9" xfId="0" applyNumberFormat="1" applyFont="1" applyFill="1" applyBorder="1" applyAlignment="1">
      <alignment horizontal="right" vertical="center"/>
    </xf>
    <xf numFmtId="173" fontId="11" fillId="2" borderId="9" xfId="0" applyNumberFormat="1" applyFont="1" applyFill="1" applyBorder="1" applyAlignment="1">
      <alignment vertical="center"/>
    </xf>
    <xf numFmtId="174" fontId="30" fillId="2" borderId="9" xfId="1" applyNumberFormat="1" applyFont="1" applyFill="1" applyBorder="1" applyAlignment="1">
      <alignment horizontal="right" vertical="center"/>
    </xf>
    <xf numFmtId="167" fontId="11" fillId="2" borderId="9" xfId="0" applyNumberFormat="1" applyFont="1" applyFill="1" applyBorder="1" applyAlignment="1">
      <alignment horizontal="right" vertical="center"/>
    </xf>
    <xf numFmtId="165" fontId="30" fillId="2" borderId="9" xfId="0" applyNumberFormat="1" applyFont="1" applyFill="1" applyBorder="1" applyAlignment="1">
      <alignment horizontal="right" vertical="center"/>
    </xf>
    <xf numFmtId="174" fontId="32" fillId="0" borderId="9" xfId="0" applyNumberFormat="1" applyFont="1" applyBorder="1" applyAlignment="1">
      <alignment vertical="center"/>
    </xf>
    <xf numFmtId="174" fontId="32" fillId="2" borderId="9" xfId="0" applyNumberFormat="1" applyFont="1" applyFill="1" applyBorder="1" applyAlignment="1">
      <alignment vertical="center"/>
    </xf>
    <xf numFmtId="181" fontId="11" fillId="0" borderId="0" xfId="0" applyNumberFormat="1" applyFont="1" applyAlignment="1">
      <alignment vertical="center"/>
    </xf>
    <xf numFmtId="181" fontId="11" fillId="0" borderId="9" xfId="0" applyNumberFormat="1" applyFont="1" applyBorder="1" applyAlignment="1">
      <alignment vertical="center"/>
    </xf>
    <xf numFmtId="181" fontId="30" fillId="0" borderId="0" xfId="0" applyNumberFormat="1" applyFont="1" applyAlignment="1">
      <alignment horizontal="right" vertical="center"/>
    </xf>
    <xf numFmtId="181" fontId="11" fillId="0" borderId="0" xfId="0" applyNumberFormat="1" applyFont="1" applyAlignment="1">
      <alignment horizontal="right" vertical="center"/>
    </xf>
    <xf numFmtId="182" fontId="32" fillId="0" borderId="9" xfId="0" applyNumberFormat="1" applyFont="1" applyBorder="1" applyAlignment="1">
      <alignment vertical="center"/>
    </xf>
    <xf numFmtId="182" fontId="24" fillId="0" borderId="9" xfId="0" applyNumberFormat="1" applyFont="1" applyBorder="1" applyAlignment="1">
      <alignment horizontal="right" vertical="center"/>
    </xf>
    <xf numFmtId="181" fontId="24" fillId="0" borderId="0" xfId="0" applyNumberFormat="1" applyFont="1" applyAlignment="1">
      <alignment horizontal="right" vertical="center"/>
    </xf>
    <xf numFmtId="0" fontId="11" fillId="0" borderId="0" xfId="0" applyFont="1" applyAlignment="1">
      <alignment vertical="top"/>
    </xf>
    <xf numFmtId="0" fontId="11" fillId="2" borderId="16" xfId="0" applyFont="1" applyFill="1" applyBorder="1" applyAlignment="1">
      <alignment horizontal="left" vertical="center"/>
    </xf>
    <xf numFmtId="0" fontId="186" fillId="0" borderId="0" xfId="0" applyFont="1"/>
    <xf numFmtId="0" fontId="202" fillId="2" borderId="0" xfId="0" applyFont="1" applyFill="1"/>
    <xf numFmtId="165" fontId="30" fillId="0" borderId="9" xfId="0" applyNumberFormat="1" applyFont="1" applyBorder="1" applyAlignment="1">
      <alignment horizontal="right" vertical="center"/>
    </xf>
    <xf numFmtId="165" fontId="30" fillId="0" borderId="0" xfId="0" applyNumberFormat="1" applyFont="1" applyAlignment="1">
      <alignment horizontal="right" vertical="center"/>
    </xf>
    <xf numFmtId="165" fontId="30" fillId="0" borderId="3" xfId="0" applyNumberFormat="1" applyFont="1" applyBorder="1" applyAlignment="1">
      <alignment horizontal="right" vertical="center"/>
    </xf>
    <xf numFmtId="173" fontId="11" fillId="0" borderId="9" xfId="0" applyNumberFormat="1" applyFont="1" applyBorder="1" applyAlignment="1">
      <alignment vertical="center"/>
    </xf>
    <xf numFmtId="173" fontId="11" fillId="0" borderId="0" xfId="0" applyNumberFormat="1" applyFont="1" applyAlignment="1">
      <alignment vertical="center"/>
    </xf>
    <xf numFmtId="170" fontId="11" fillId="0" borderId="0" xfId="0" applyNumberFormat="1" applyFont="1" applyAlignment="1">
      <alignment horizontal="right" vertical="center"/>
    </xf>
    <xf numFmtId="170" fontId="11" fillId="0" borderId="9" xfId="0" applyNumberFormat="1" applyFont="1" applyBorder="1" applyAlignment="1">
      <alignment vertical="center"/>
    </xf>
    <xf numFmtId="170" fontId="11" fillId="0" borderId="0" xfId="0" applyNumberFormat="1" applyFont="1" applyAlignment="1">
      <alignment vertical="center"/>
    </xf>
    <xf numFmtId="167" fontId="11" fillId="0" borderId="9" xfId="0" applyNumberFormat="1" applyFont="1" applyBorder="1" applyAlignment="1">
      <alignment horizontal="right" vertical="center"/>
    </xf>
    <xf numFmtId="167" fontId="11" fillId="0" borderId="0" xfId="0" applyNumberFormat="1" applyFont="1" applyAlignment="1">
      <alignment horizontal="right" vertical="center"/>
    </xf>
    <xf numFmtId="173" fontId="11" fillId="0" borderId="0" xfId="0" applyNumberFormat="1" applyFont="1" applyAlignment="1">
      <alignment horizontal="right" vertical="center"/>
    </xf>
    <xf numFmtId="177" fontId="11" fillId="0" borderId="9" xfId="0" applyNumberFormat="1" applyFont="1" applyBorder="1" applyAlignment="1">
      <alignment vertical="center"/>
    </xf>
    <xf numFmtId="167" fontId="11" fillId="0" borderId="9" xfId="0" applyNumberFormat="1" applyFont="1" applyBorder="1" applyAlignment="1">
      <alignment vertical="center"/>
    </xf>
    <xf numFmtId="167" fontId="11" fillId="0" borderId="0" xfId="0" applyNumberFormat="1" applyFont="1" applyAlignment="1">
      <alignment vertical="center"/>
    </xf>
    <xf numFmtId="175" fontId="11" fillId="0" borderId="9" xfId="0" applyNumberFormat="1" applyFont="1" applyBorder="1" applyAlignment="1">
      <alignment vertical="center"/>
    </xf>
    <xf numFmtId="173" fontId="11" fillId="0" borderId="9" xfId="0" applyNumberFormat="1" applyFont="1" applyBorder="1" applyAlignment="1">
      <alignment horizontal="right" vertical="center"/>
    </xf>
    <xf numFmtId="173" fontId="11" fillId="0" borderId="3" xfId="0" applyNumberFormat="1" applyFont="1" applyBorder="1" applyAlignment="1">
      <alignment horizontal="right" vertical="center"/>
    </xf>
    <xf numFmtId="175" fontId="11" fillId="0" borderId="0" xfId="0" applyNumberFormat="1" applyFont="1" applyAlignment="1">
      <alignment vertical="center"/>
    </xf>
    <xf numFmtId="174" fontId="30" fillId="0" borderId="9" xfId="1" applyNumberFormat="1" applyFont="1" applyFill="1" applyBorder="1" applyAlignment="1">
      <alignment horizontal="right" vertical="center"/>
    </xf>
    <xf numFmtId="174" fontId="30" fillId="0" borderId="0" xfId="1" applyNumberFormat="1" applyFont="1" applyFill="1" applyBorder="1" applyAlignment="1">
      <alignment horizontal="right" vertical="center"/>
    </xf>
    <xf numFmtId="174" fontId="30" fillId="0" borderId="3" xfId="1" applyNumberFormat="1" applyFont="1" applyFill="1" applyBorder="1" applyAlignment="1">
      <alignment horizontal="right" vertical="center"/>
    </xf>
    <xf numFmtId="167" fontId="11" fillId="0" borderId="3" xfId="0" applyNumberFormat="1" applyFont="1" applyBorder="1" applyAlignment="1">
      <alignment horizontal="right" vertical="center"/>
    </xf>
    <xf numFmtId="175" fontId="32" fillId="0" borderId="9" xfId="0" applyNumberFormat="1" applyFont="1" applyBorder="1" applyAlignment="1">
      <alignment vertical="center"/>
    </xf>
    <xf numFmtId="175" fontId="32" fillId="0" borderId="0" xfId="0" applyNumberFormat="1" applyFont="1" applyAlignment="1">
      <alignment vertical="center"/>
    </xf>
    <xf numFmtId="170" fontId="32" fillId="0" borderId="0" xfId="0" applyNumberFormat="1" applyFont="1" applyAlignment="1">
      <alignment vertical="center"/>
    </xf>
    <xf numFmtId="174" fontId="11" fillId="0" borderId="9" xfId="0" applyNumberFormat="1" applyFont="1" applyBorder="1" applyAlignment="1">
      <alignment vertical="center"/>
    </xf>
    <xf numFmtId="174" fontId="11" fillId="0" borderId="0" xfId="0" applyNumberFormat="1" applyFont="1" applyAlignment="1">
      <alignment vertical="center"/>
    </xf>
    <xf numFmtId="174" fontId="11" fillId="0" borderId="3" xfId="0" applyNumberFormat="1" applyFont="1" applyBorder="1" applyAlignment="1">
      <alignment vertical="center"/>
    </xf>
    <xf numFmtId="174" fontId="32" fillId="0" borderId="3" xfId="0" applyNumberFormat="1" applyFont="1" applyBorder="1" applyAlignment="1">
      <alignment vertical="center"/>
    </xf>
    <xf numFmtId="173" fontId="32" fillId="0" borderId="0" xfId="0" applyNumberFormat="1" applyFont="1" applyAlignment="1">
      <alignment vertical="center"/>
    </xf>
    <xf numFmtId="165" fontId="34" fillId="0" borderId="0" xfId="0" applyNumberFormat="1" applyFont="1" applyAlignment="1">
      <alignment horizontal="right" vertical="center"/>
    </xf>
    <xf numFmtId="184" fontId="11" fillId="2" borderId="9" xfId="0" applyNumberFormat="1" applyFont="1" applyFill="1" applyBorder="1" applyAlignment="1">
      <alignment horizontal="right" vertical="center"/>
    </xf>
    <xf numFmtId="182" fontId="11" fillId="0" borderId="0" xfId="0" applyNumberFormat="1" applyFont="1" applyAlignment="1">
      <alignment horizontal="right" vertical="center"/>
    </xf>
    <xf numFmtId="182" fontId="30" fillId="0" borderId="0" xfId="0" applyNumberFormat="1" applyFont="1" applyAlignment="1">
      <alignment vertical="center"/>
    </xf>
    <xf numFmtId="183" fontId="30" fillId="0" borderId="0" xfId="0" applyNumberFormat="1" applyFont="1" applyAlignment="1">
      <alignment vertical="center"/>
    </xf>
    <xf numFmtId="182" fontId="34" fillId="0" borderId="0" xfId="0" applyNumberFormat="1" applyFont="1" applyAlignment="1">
      <alignment horizontal="right" vertical="center"/>
    </xf>
    <xf numFmtId="0" fontId="22" fillId="0" borderId="11" xfId="0" applyFont="1" applyBorder="1" applyAlignment="1">
      <alignment vertical="center" wrapText="1"/>
    </xf>
    <xf numFmtId="182" fontId="22" fillId="0" borderId="2" xfId="0" applyNumberFormat="1" applyFont="1" applyBorder="1" applyAlignment="1">
      <alignment vertical="center"/>
    </xf>
    <xf numFmtId="0" fontId="78" fillId="0" borderId="0" xfId="0" applyFont="1" applyAlignment="1">
      <alignment vertical="center"/>
    </xf>
    <xf numFmtId="3" fontId="19" fillId="0" borderId="3" xfId="0" applyNumberFormat="1" applyFont="1" applyBorder="1" applyAlignment="1">
      <alignment horizontal="right" vertical="center" wrapText="1"/>
    </xf>
    <xf numFmtId="3" fontId="8" fillId="0" borderId="0" xfId="0" applyNumberFormat="1" applyFont="1" applyAlignment="1">
      <alignment vertical="center"/>
    </xf>
    <xf numFmtId="0" fontId="37" fillId="0" borderId="3" xfId="0" applyFont="1" applyBorder="1" applyAlignment="1">
      <alignment horizontal="left" vertical="center" wrapText="1" indent="1"/>
    </xf>
    <xf numFmtId="3" fontId="29" fillId="0" borderId="0" xfId="0" applyNumberFormat="1" applyFont="1" applyAlignment="1">
      <alignment horizontal="right" vertical="center" wrapText="1"/>
    </xf>
    <xf numFmtId="0" fontId="38" fillId="0" borderId="3" xfId="0" applyFont="1" applyBorder="1" applyAlignment="1">
      <alignment horizontal="left" vertical="center" wrapText="1" indent="3"/>
    </xf>
    <xf numFmtId="3" fontId="39" fillId="0" borderId="3" xfId="0" applyNumberFormat="1" applyFont="1" applyBorder="1" applyAlignment="1">
      <alignment horizontal="right" vertical="center" wrapText="1"/>
    </xf>
    <xf numFmtId="3" fontId="12" fillId="0" borderId="0" xfId="0" applyNumberFormat="1" applyFont="1" applyAlignment="1">
      <alignment horizontal="right" vertical="center" wrapText="1"/>
    </xf>
    <xf numFmtId="3" fontId="19" fillId="0" borderId="18" xfId="0" applyNumberFormat="1" applyFont="1" applyBorder="1" applyAlignment="1">
      <alignment horizontal="right" vertical="center" wrapText="1"/>
    </xf>
    <xf numFmtId="170" fontId="29" fillId="0" borderId="0" xfId="0" applyNumberFormat="1" applyFont="1" applyAlignment="1">
      <alignment horizontal="right" vertical="center" wrapText="1"/>
    </xf>
    <xf numFmtId="0" fontId="37" fillId="0" borderId="16" xfId="0" applyFont="1" applyBorder="1" applyAlignment="1">
      <alignment horizontal="left" vertical="center"/>
    </xf>
    <xf numFmtId="167" fontId="19" fillId="0" borderId="3" xfId="0" applyNumberFormat="1" applyFont="1" applyBorder="1" applyAlignment="1">
      <alignment horizontal="right" vertical="center" wrapText="1"/>
    </xf>
    <xf numFmtId="0" fontId="37" fillId="0" borderId="3" xfId="0" applyFont="1" applyBorder="1" applyAlignment="1">
      <alignment horizontal="left" vertical="center" wrapText="1"/>
    </xf>
    <xf numFmtId="169" fontId="19" fillId="0" borderId="3" xfId="0" applyNumberFormat="1" applyFont="1" applyBorder="1" applyAlignment="1">
      <alignment horizontal="right" vertical="center" wrapText="1"/>
    </xf>
    <xf numFmtId="169" fontId="29" fillId="0" borderId="0" xfId="0" applyNumberFormat="1" applyFont="1" applyAlignment="1">
      <alignment horizontal="right" vertical="center" wrapText="1"/>
    </xf>
    <xf numFmtId="3" fontId="39" fillId="0" borderId="3" xfId="6" applyNumberFormat="1" applyFont="1" applyFill="1" applyBorder="1" applyAlignment="1">
      <alignment horizontal="right" vertical="center" wrapText="1"/>
    </xf>
    <xf numFmtId="3" fontId="19" fillId="0" borderId="3" xfId="6" applyNumberFormat="1" applyFont="1" applyFill="1" applyBorder="1" applyAlignment="1">
      <alignment horizontal="right" vertical="center" wrapText="1"/>
    </xf>
    <xf numFmtId="3" fontId="19" fillId="0" borderId="5" xfId="0" applyNumberFormat="1" applyFont="1" applyBorder="1" applyAlignment="1">
      <alignment horizontal="right" vertical="center" wrapText="1"/>
    </xf>
    <xf numFmtId="0" fontId="8" fillId="0" borderId="0" xfId="0" applyFont="1" applyAlignment="1">
      <alignment horizontal="left" vertical="top" wrapText="1"/>
    </xf>
    <xf numFmtId="0" fontId="8" fillId="0" borderId="0" xfId="0" applyFont="1" applyAlignment="1">
      <alignment vertical="top"/>
    </xf>
    <xf numFmtId="0" fontId="8" fillId="0" borderId="0" xfId="0" applyFont="1" applyAlignment="1">
      <alignment vertical="top" wrapText="1"/>
    </xf>
    <xf numFmtId="0" fontId="8" fillId="0" borderId="0" xfId="0" applyFont="1" applyAlignment="1">
      <alignment vertical="center" wrapText="1"/>
    </xf>
    <xf numFmtId="0" fontId="193" fillId="75" borderId="5" xfId="0" applyFont="1" applyFill="1" applyBorder="1" applyAlignment="1">
      <alignment horizontal="center" vertical="center"/>
    </xf>
    <xf numFmtId="0" fontId="193" fillId="75" borderId="53" xfId="0" applyFont="1" applyFill="1" applyBorder="1" applyAlignment="1">
      <alignment horizontal="center" vertical="center"/>
    </xf>
    <xf numFmtId="0" fontId="206" fillId="0" borderId="0" xfId="0" applyFont="1" applyAlignment="1">
      <alignment vertical="center"/>
    </xf>
    <xf numFmtId="177" fontId="22" fillId="77" borderId="6" xfId="0" applyNumberFormat="1" applyFont="1" applyFill="1" applyBorder="1" applyAlignment="1">
      <alignment horizontal="right" vertical="center"/>
    </xf>
    <xf numFmtId="177" fontId="22" fillId="77" borderId="7" xfId="0" applyNumberFormat="1" applyFont="1" applyFill="1" applyBorder="1" applyAlignment="1">
      <alignment horizontal="right" vertical="center"/>
    </xf>
    <xf numFmtId="170" fontId="46" fillId="80" borderId="8" xfId="0" applyNumberFormat="1" applyFont="1" applyFill="1" applyBorder="1" applyAlignment="1">
      <alignment horizontal="right" vertical="center" wrapText="1"/>
    </xf>
    <xf numFmtId="170" fontId="195" fillId="80" borderId="9" xfId="0" applyNumberFormat="1" applyFont="1" applyFill="1" applyBorder="1" applyAlignment="1">
      <alignment horizontal="right" vertical="center" wrapText="1"/>
    </xf>
    <xf numFmtId="213" fontId="22" fillId="77" borderId="6" xfId="0" applyNumberFormat="1" applyFont="1" applyFill="1" applyBorder="1" applyAlignment="1">
      <alignment horizontal="right" vertical="center"/>
    </xf>
    <xf numFmtId="213" fontId="22" fillId="77" borderId="7" xfId="0" applyNumberFormat="1" applyFont="1" applyFill="1" applyBorder="1" applyAlignment="1">
      <alignment horizontal="right" vertical="center"/>
    </xf>
    <xf numFmtId="213" fontId="46" fillId="80" borderId="8" xfId="0" applyNumberFormat="1" applyFont="1" applyFill="1" applyBorder="1" applyAlignment="1">
      <alignment horizontal="right" vertical="center" wrapText="1"/>
    </xf>
    <xf numFmtId="169" fontId="195" fillId="80" borderId="9" xfId="0" applyNumberFormat="1" applyFont="1" applyFill="1" applyBorder="1" applyAlignment="1">
      <alignment horizontal="right" vertical="center" wrapText="1"/>
    </xf>
    <xf numFmtId="166" fontId="195" fillId="80" borderId="9" xfId="0" applyNumberFormat="1" applyFont="1" applyFill="1" applyBorder="1" applyAlignment="1">
      <alignment horizontal="right" vertical="center" wrapText="1"/>
    </xf>
    <xf numFmtId="0" fontId="17" fillId="0" borderId="55" xfId="0" applyFont="1" applyBorder="1" applyAlignment="1">
      <alignment horizontal="left" vertical="center" wrapText="1"/>
    </xf>
    <xf numFmtId="0" fontId="17" fillId="0" borderId="55" xfId="0" applyFont="1" applyBorder="1" applyAlignment="1">
      <alignment horizontal="left" vertical="center"/>
    </xf>
    <xf numFmtId="3" fontId="36" fillId="0" borderId="55" xfId="0" applyNumberFormat="1" applyFont="1" applyBorder="1" applyAlignment="1">
      <alignment horizontal="right" vertical="center" wrapText="1"/>
    </xf>
    <xf numFmtId="3" fontId="36" fillId="0" borderId="56" xfId="0" applyNumberFormat="1" applyFont="1" applyBorder="1" applyAlignment="1">
      <alignment horizontal="right" vertical="center" wrapText="1"/>
    </xf>
    <xf numFmtId="170" fontId="207" fillId="80" borderId="57" xfId="0" applyNumberFormat="1" applyFont="1" applyFill="1" applyBorder="1" applyAlignment="1">
      <alignment horizontal="right" vertical="center" wrapText="1"/>
    </xf>
    <xf numFmtId="170" fontId="36" fillId="0" borderId="55" xfId="0" applyNumberFormat="1" applyFont="1" applyBorder="1" applyAlignment="1">
      <alignment horizontal="right" vertical="center" wrapText="1"/>
    </xf>
    <xf numFmtId="170" fontId="36" fillId="0" borderId="56" xfId="0" applyNumberFormat="1" applyFont="1" applyBorder="1" applyAlignment="1">
      <alignment horizontal="right" vertical="center" wrapText="1"/>
    </xf>
    <xf numFmtId="170" fontId="17" fillId="0" borderId="55" xfId="0" applyNumberFormat="1" applyFont="1" applyBorder="1" applyAlignment="1">
      <alignment horizontal="left" vertical="center" wrapText="1"/>
    </xf>
    <xf numFmtId="170" fontId="17" fillId="0" borderId="55" xfId="0" applyNumberFormat="1" applyFont="1" applyBorder="1" applyAlignment="1">
      <alignment horizontal="left" vertical="center"/>
    </xf>
    <xf numFmtId="170" fontId="8" fillId="0" borderId="0" xfId="0" applyNumberFormat="1" applyFont="1" applyAlignment="1">
      <alignment vertical="center"/>
    </xf>
    <xf numFmtId="3" fontId="195" fillId="80" borderId="9" xfId="0" applyNumberFormat="1" applyFont="1" applyFill="1" applyBorder="1" applyAlignment="1">
      <alignment horizontal="right" vertical="center" wrapText="1"/>
    </xf>
    <xf numFmtId="3" fontId="207" fillId="80" borderId="57" xfId="0" applyNumberFormat="1" applyFont="1" applyFill="1" applyBorder="1" applyAlignment="1">
      <alignment horizontal="right" vertical="center" wrapText="1"/>
    </xf>
    <xf numFmtId="3" fontId="205" fillId="81" borderId="3" xfId="0" applyNumberFormat="1" applyFont="1" applyFill="1" applyBorder="1" applyAlignment="1">
      <alignment horizontal="right" vertical="center" wrapText="1"/>
    </xf>
    <xf numFmtId="3" fontId="205" fillId="81" borderId="0" xfId="0" applyNumberFormat="1" applyFont="1" applyFill="1" applyAlignment="1">
      <alignment horizontal="right" vertical="center" wrapText="1"/>
    </xf>
    <xf numFmtId="170" fontId="46" fillId="82" borderId="50" xfId="0" applyNumberFormat="1" applyFont="1" applyFill="1" applyBorder="1" applyAlignment="1">
      <alignment horizontal="right" vertical="center" wrapText="1"/>
    </xf>
    <xf numFmtId="3" fontId="205" fillId="81" borderId="4" xfId="0" applyNumberFormat="1" applyFont="1" applyFill="1" applyBorder="1" applyAlignment="1">
      <alignment horizontal="right" vertical="center" wrapText="1"/>
    </xf>
    <xf numFmtId="169" fontId="205" fillId="81" borderId="3" xfId="6" applyNumberFormat="1" applyFont="1" applyFill="1" applyBorder="1" applyAlignment="1">
      <alignment horizontal="right" vertical="center" wrapText="1"/>
    </xf>
    <xf numFmtId="169" fontId="205" fillId="81" borderId="0" xfId="6" applyNumberFormat="1" applyFont="1" applyFill="1" applyBorder="1" applyAlignment="1">
      <alignment horizontal="right" vertical="center" wrapText="1"/>
    </xf>
    <xf numFmtId="0" fontId="17" fillId="0" borderId="58" xfId="0" applyFont="1" applyBorder="1" applyAlignment="1">
      <alignment horizontal="left" vertical="center" wrapText="1"/>
    </xf>
    <xf numFmtId="0" fontId="17" fillId="0" borderId="58" xfId="0" applyFont="1" applyBorder="1" applyAlignment="1">
      <alignment horizontal="left" vertical="center"/>
    </xf>
    <xf numFmtId="3" fontId="36" fillId="0" borderId="58" xfId="0" applyNumberFormat="1" applyFont="1" applyBorder="1" applyAlignment="1">
      <alignment horizontal="right" vertical="center" wrapText="1"/>
    </xf>
    <xf numFmtId="3" fontId="36" fillId="0" borderId="59" xfId="0" applyNumberFormat="1" applyFont="1" applyBorder="1" applyAlignment="1">
      <alignment horizontal="right" vertical="center" wrapText="1"/>
    </xf>
    <xf numFmtId="3" fontId="207" fillId="80" borderId="60" xfId="0" applyNumberFormat="1" applyFont="1" applyFill="1" applyBorder="1" applyAlignment="1">
      <alignment horizontal="right" vertical="center" wrapText="1"/>
    </xf>
    <xf numFmtId="0" fontId="193" fillId="75" borderId="3" xfId="0" applyFont="1" applyFill="1" applyBorder="1" applyAlignment="1">
      <alignment vertical="center" wrapText="1"/>
    </xf>
    <xf numFmtId="170" fontId="46" fillId="82" borderId="9" xfId="0" applyNumberFormat="1" applyFont="1" applyFill="1" applyBorder="1" applyAlignment="1">
      <alignment horizontal="right" vertical="center" wrapText="1"/>
    </xf>
    <xf numFmtId="2" fontId="19" fillId="0" borderId="3" xfId="0" applyNumberFormat="1" applyFont="1" applyBorder="1" applyAlignment="1">
      <alignment horizontal="right" vertical="center" wrapText="1"/>
    </xf>
    <xf numFmtId="2" fontId="19" fillId="0" borderId="0" xfId="0" applyNumberFormat="1" applyFont="1" applyAlignment="1">
      <alignment horizontal="right" vertical="center" wrapText="1"/>
    </xf>
    <xf numFmtId="4" fontId="29" fillId="0" borderId="0" xfId="0" applyNumberFormat="1" applyFont="1" applyAlignment="1">
      <alignment horizontal="right" vertical="center" wrapText="1"/>
    </xf>
    <xf numFmtId="3" fontId="36" fillId="0" borderId="61" xfId="0" applyNumberFormat="1" applyFont="1" applyBorder="1" applyAlignment="1">
      <alignment horizontal="right" vertical="center" wrapText="1"/>
    </xf>
    <xf numFmtId="3" fontId="36" fillId="0" borderId="62" xfId="0" applyNumberFormat="1" applyFont="1" applyBorder="1" applyAlignment="1">
      <alignment horizontal="right" vertical="center" wrapText="1"/>
    </xf>
    <xf numFmtId="170" fontId="207" fillId="80" borderId="63" xfId="0" applyNumberFormat="1" applyFont="1" applyFill="1" applyBorder="1" applyAlignment="1">
      <alignment horizontal="right" vertical="center" wrapText="1"/>
    </xf>
    <xf numFmtId="3" fontId="208" fillId="80" borderId="9" xfId="0" applyNumberFormat="1" applyFont="1" applyFill="1" applyBorder="1" applyAlignment="1">
      <alignment horizontal="right" vertical="center" wrapText="1"/>
    </xf>
    <xf numFmtId="3" fontId="46" fillId="80" borderId="8" xfId="0" applyNumberFormat="1" applyFont="1" applyFill="1" applyBorder="1" applyAlignment="1">
      <alignment horizontal="right" vertical="center" wrapText="1"/>
    </xf>
    <xf numFmtId="3" fontId="207" fillId="80" borderId="63" xfId="0" applyNumberFormat="1" applyFont="1" applyFill="1" applyBorder="1" applyAlignment="1">
      <alignment horizontal="right" vertical="center" wrapText="1"/>
    </xf>
    <xf numFmtId="3" fontId="37" fillId="0" borderId="3" xfId="0" applyNumberFormat="1" applyFont="1" applyBorder="1" applyAlignment="1">
      <alignment horizontal="left" vertical="center" wrapText="1" indent="1"/>
    </xf>
    <xf numFmtId="3" fontId="37" fillId="0" borderId="5" xfId="0" applyNumberFormat="1" applyFont="1" applyBorder="1" applyAlignment="1">
      <alignment horizontal="left" vertical="center" wrapText="1" indent="1"/>
    </xf>
    <xf numFmtId="3" fontId="195" fillId="80" borderId="13" xfId="0" applyNumberFormat="1" applyFont="1" applyFill="1" applyBorder="1" applyAlignment="1">
      <alignment horizontal="right" vertical="center" wrapText="1"/>
    </xf>
    <xf numFmtId="3" fontId="17" fillId="0" borderId="55" xfId="0" applyNumberFormat="1" applyFont="1" applyBorder="1" applyAlignment="1">
      <alignment horizontal="left" vertical="center" wrapText="1"/>
    </xf>
    <xf numFmtId="3" fontId="17" fillId="0" borderId="55" xfId="0" applyNumberFormat="1" applyFont="1" applyBorder="1" applyAlignment="1">
      <alignment horizontal="left" vertical="center"/>
    </xf>
    <xf numFmtId="0" fontId="209" fillId="0" borderId="0" xfId="0" applyFont="1" applyAlignment="1">
      <alignment vertical="center"/>
    </xf>
    <xf numFmtId="0" fontId="193" fillId="75" borderId="10" xfId="0" applyFont="1" applyFill="1" applyBorder="1" applyAlignment="1">
      <alignment horizontal="center" vertical="center"/>
    </xf>
    <xf numFmtId="0" fontId="193" fillId="75" borderId="0" xfId="0" applyFont="1" applyFill="1" applyAlignment="1">
      <alignment horizontal="center" vertical="center"/>
    </xf>
    <xf numFmtId="0" fontId="0" fillId="0" borderId="0" xfId="0" applyAlignment="1">
      <alignment horizontal="right"/>
    </xf>
    <xf numFmtId="0" fontId="41" fillId="0" borderId="5" xfId="0" applyFont="1" applyBorder="1" applyAlignment="1">
      <alignment horizontal="right" vertical="center"/>
    </xf>
    <xf numFmtId="0" fontId="41" fillId="0" borderId="7" xfId="0" applyFont="1" applyBorder="1" applyAlignment="1">
      <alignment horizontal="right" vertical="center"/>
    </xf>
    <xf numFmtId="0" fontId="15" fillId="0" borderId="0" xfId="0" applyFont="1" applyAlignment="1">
      <alignment vertical="center"/>
    </xf>
    <xf numFmtId="0" fontId="61" fillId="0" borderId="14" xfId="0" applyFont="1" applyBorder="1" applyAlignment="1">
      <alignment horizontal="left" vertical="center" wrapText="1"/>
    </xf>
    <xf numFmtId="169" fontId="179" fillId="0" borderId="9" xfId="0" applyNumberFormat="1" applyFont="1" applyBorder="1" applyAlignment="1">
      <alignment horizontal="right" vertical="center" wrapText="1"/>
    </xf>
    <xf numFmtId="10" fontId="172" fillId="0" borderId="0" xfId="7" applyNumberFormat="1" applyFont="1" applyFill="1" applyBorder="1" applyAlignment="1">
      <alignment horizontal="right" vertical="center" wrapText="1"/>
    </xf>
    <xf numFmtId="3" fontId="48" fillId="0" borderId="9" xfId="0" applyNumberFormat="1" applyFont="1" applyBorder="1" applyAlignment="1">
      <alignment horizontal="right" vertical="center" wrapText="1"/>
    </xf>
    <xf numFmtId="3" fontId="179" fillId="0" borderId="9" xfId="0" applyNumberFormat="1" applyFont="1" applyBorder="1" applyAlignment="1">
      <alignment horizontal="right" vertical="center" wrapText="1"/>
    </xf>
    <xf numFmtId="3" fontId="179" fillId="0" borderId="13" xfId="0" applyNumberFormat="1" applyFont="1" applyBorder="1" applyAlignment="1">
      <alignment horizontal="right" vertical="center" wrapText="1"/>
    </xf>
    <xf numFmtId="0" fontId="29" fillId="0" borderId="0" xfId="0" applyFont="1" applyAlignment="1">
      <alignment horizontal="left" vertical="top"/>
    </xf>
    <xf numFmtId="0" fontId="183" fillId="0" borderId="0" xfId="0" applyFont="1" applyAlignment="1">
      <alignment vertical="center"/>
    </xf>
    <xf numFmtId="0" fontId="28" fillId="0" borderId="0" xfId="0" applyFont="1" applyAlignment="1">
      <alignment horizontal="left" vertical="center" wrapText="1"/>
    </xf>
    <xf numFmtId="0" fontId="179" fillId="0" borderId="0" xfId="0" applyFont="1" applyAlignment="1">
      <alignment vertical="center"/>
    </xf>
    <xf numFmtId="0" fontId="80" fillId="0" borderId="14" xfId="0" applyFont="1" applyBorder="1" applyAlignment="1">
      <alignment horizontal="left" vertical="center" wrapText="1"/>
    </xf>
    <xf numFmtId="0" fontId="0" fillId="0" borderId="0" xfId="0" applyAlignment="1">
      <alignment wrapText="1"/>
    </xf>
    <xf numFmtId="0" fontId="61" fillId="0" borderId="12" xfId="0" applyFont="1" applyBorder="1" applyAlignment="1">
      <alignment horizontal="left" vertical="center" wrapText="1"/>
    </xf>
    <xf numFmtId="0" fontId="61" fillId="81" borderId="5" xfId="0" applyFont="1" applyFill="1" applyBorder="1" applyAlignment="1">
      <alignment horizontal="right" vertical="center"/>
    </xf>
    <xf numFmtId="0" fontId="61" fillId="81" borderId="53" xfId="0" applyFont="1" applyFill="1" applyBorder="1" applyAlignment="1">
      <alignment horizontal="right" vertical="center"/>
    </xf>
    <xf numFmtId="0" fontId="61" fillId="0" borderId="5" xfId="0" applyFont="1" applyBorder="1" applyAlignment="1">
      <alignment horizontal="right" vertical="center"/>
    </xf>
    <xf numFmtId="0" fontId="61" fillId="0" borderId="7" xfId="0" applyFont="1" applyBorder="1" applyAlignment="1">
      <alignment horizontal="right" vertical="center"/>
    </xf>
    <xf numFmtId="0" fontId="61" fillId="0" borderId="4" xfId="0" applyFont="1" applyBorder="1" applyAlignment="1">
      <alignment horizontal="left" vertical="center" wrapText="1"/>
    </xf>
    <xf numFmtId="0" fontId="61" fillId="0" borderId="49" xfId="0" applyFont="1" applyBorder="1" applyAlignment="1">
      <alignment horizontal="left" vertical="center" wrapText="1"/>
    </xf>
    <xf numFmtId="0" fontId="80" fillId="0" borderId="49" xfId="0" applyFont="1" applyBorder="1" applyAlignment="1">
      <alignment horizontal="left" vertical="center" wrapText="1"/>
    </xf>
    <xf numFmtId="0" fontId="14" fillId="2" borderId="54" xfId="0" applyFont="1" applyFill="1" applyBorder="1" applyAlignment="1">
      <alignment vertical="center" wrapText="1"/>
    </xf>
    <xf numFmtId="10" fontId="179" fillId="0" borderId="56" xfId="7" applyNumberFormat="1" applyFont="1" applyFill="1" applyBorder="1" applyAlignment="1">
      <alignment horizontal="right" vertical="center" wrapText="1"/>
    </xf>
    <xf numFmtId="10" fontId="179" fillId="0" borderId="56" xfId="0" applyNumberFormat="1" applyFont="1" applyBorder="1" applyAlignment="1">
      <alignment horizontal="right" vertical="center" wrapText="1"/>
    </xf>
    <xf numFmtId="169" fontId="179" fillId="0" borderId="57" xfId="0" applyNumberFormat="1" applyFont="1" applyBorder="1" applyAlignment="1">
      <alignment horizontal="right" vertical="center" wrapText="1"/>
    </xf>
    <xf numFmtId="10" fontId="179" fillId="2" borderId="56" xfId="7" applyNumberFormat="1" applyFont="1" applyFill="1" applyBorder="1" applyAlignment="1">
      <alignment horizontal="right" vertical="center" wrapText="1"/>
    </xf>
    <xf numFmtId="169" fontId="179" fillId="2" borderId="56" xfId="7" applyNumberFormat="1" applyFont="1" applyFill="1" applyBorder="1" applyAlignment="1">
      <alignment horizontal="right" vertical="center" wrapText="1"/>
    </xf>
    <xf numFmtId="169" fontId="179" fillId="0" borderId="56" xfId="7" applyNumberFormat="1" applyFont="1" applyFill="1" applyBorder="1" applyAlignment="1">
      <alignment horizontal="right" vertical="center" wrapText="1"/>
    </xf>
    <xf numFmtId="169" fontId="179" fillId="0" borderId="56" xfId="0" applyNumberFormat="1" applyFont="1" applyBorder="1" applyAlignment="1">
      <alignment horizontal="right" vertical="center" wrapText="1"/>
    </xf>
    <xf numFmtId="3" fontId="14" fillId="2" borderId="54" xfId="0" applyNumberFormat="1" applyFont="1" applyFill="1" applyBorder="1" applyAlignment="1">
      <alignment vertical="center" wrapText="1"/>
    </xf>
    <xf numFmtId="3" fontId="179" fillId="0" borderId="56" xfId="7" applyNumberFormat="1" applyFont="1" applyFill="1" applyBorder="1" applyAlignment="1">
      <alignment horizontal="right" vertical="center" wrapText="1"/>
    </xf>
    <xf numFmtId="3" fontId="179" fillId="0" borderId="56" xfId="0" applyNumberFormat="1" applyFont="1" applyBorder="1" applyAlignment="1">
      <alignment horizontal="right" vertical="center" wrapText="1"/>
    </xf>
    <xf numFmtId="3" fontId="179" fillId="0" borderId="57" xfId="0" applyNumberFormat="1" applyFont="1" applyBorder="1" applyAlignment="1">
      <alignment horizontal="right" vertical="center" wrapText="1"/>
    </xf>
    <xf numFmtId="3" fontId="179" fillId="2" borderId="56" xfId="7" applyNumberFormat="1" applyFont="1" applyFill="1" applyBorder="1" applyAlignment="1">
      <alignment horizontal="right" vertical="center" wrapText="1"/>
    </xf>
    <xf numFmtId="0" fontId="210" fillId="2" borderId="0" xfId="0" applyFont="1" applyFill="1" applyAlignment="1">
      <alignment vertical="center"/>
    </xf>
    <xf numFmtId="0" fontId="80" fillId="0" borderId="0" xfId="0" applyFont="1"/>
    <xf numFmtId="0" fontId="80" fillId="0" borderId="0" xfId="0" applyFont="1" applyAlignment="1">
      <alignment horizontal="right"/>
    </xf>
    <xf numFmtId="0" fontId="114" fillId="0" borderId="0" xfId="0" applyFont="1"/>
    <xf numFmtId="0" fontId="114" fillId="0" borderId="0" xfId="0" applyFont="1" applyAlignment="1">
      <alignment horizontal="right"/>
    </xf>
    <xf numFmtId="168" fontId="11" fillId="0" borderId="0" xfId="0" applyNumberFormat="1" applyFont="1" applyAlignment="1">
      <alignment vertical="center"/>
    </xf>
    <xf numFmtId="168" fontId="11" fillId="0" borderId="3" xfId="0" applyNumberFormat="1" applyFont="1" applyBorder="1" applyAlignment="1">
      <alignment vertical="center"/>
    </xf>
    <xf numFmtId="0" fontId="190" fillId="83" borderId="3" xfId="0" applyFont="1" applyFill="1" applyBorder="1" applyAlignment="1">
      <alignment vertical="center" wrapText="1"/>
    </xf>
    <xf numFmtId="177" fontId="190" fillId="83" borderId="0" xfId="0" applyNumberFormat="1" applyFont="1" applyFill="1" applyAlignment="1">
      <alignment vertical="center"/>
    </xf>
    <xf numFmtId="0" fontId="21" fillId="0" borderId="65" xfId="0" applyFont="1" applyBorder="1" applyAlignment="1">
      <alignment vertical="center" wrapText="1"/>
    </xf>
    <xf numFmtId="182" fontId="22" fillId="0" borderId="66" xfId="0" applyNumberFormat="1" applyFont="1" applyBorder="1" applyAlignment="1">
      <alignment horizontal="right" vertical="center"/>
    </xf>
    <xf numFmtId="182" fontId="22" fillId="0" borderId="66" xfId="0" applyNumberFormat="1" applyFont="1" applyBorder="1" applyAlignment="1">
      <alignment vertical="center"/>
    </xf>
    <xf numFmtId="0" fontId="213" fillId="83" borderId="3" xfId="0" applyFont="1" applyFill="1" applyBorder="1" applyAlignment="1">
      <alignment vertical="center" wrapText="1"/>
    </xf>
    <xf numFmtId="177" fontId="213" fillId="83" borderId="3" xfId="0" applyNumberFormat="1" applyFont="1" applyFill="1" applyBorder="1" applyAlignment="1">
      <alignment vertical="center"/>
    </xf>
    <xf numFmtId="177" fontId="213" fillId="83" borderId="0" xfId="0" applyNumberFormat="1" applyFont="1" applyFill="1" applyAlignment="1">
      <alignment vertical="center"/>
    </xf>
    <xf numFmtId="177" fontId="213" fillId="83" borderId="9" xfId="0" applyNumberFormat="1" applyFont="1" applyFill="1" applyBorder="1" applyAlignment="1">
      <alignment vertical="center"/>
    </xf>
    <xf numFmtId="0" fontId="31" fillId="2" borderId="16" xfId="0" applyFont="1" applyFill="1" applyBorder="1" applyAlignment="1">
      <alignment horizontal="left" vertical="center" indent="2"/>
    </xf>
    <xf numFmtId="0" fontId="189" fillId="0" borderId="9" xfId="0" applyFont="1" applyBorder="1" applyAlignment="1">
      <alignment horizontal="left" vertical="center" indent="3"/>
    </xf>
    <xf numFmtId="0" fontId="200" fillId="75" borderId="0" xfId="0" applyFont="1" applyFill="1" applyAlignment="1">
      <alignment vertical="center" wrapText="1"/>
    </xf>
    <xf numFmtId="0" fontId="200" fillId="75" borderId="16" xfId="0" applyFont="1" applyFill="1" applyBorder="1" applyAlignment="1">
      <alignment vertical="center" wrapText="1"/>
    </xf>
    <xf numFmtId="0" fontId="201" fillId="0" borderId="0" xfId="0" applyFont="1"/>
    <xf numFmtId="0" fontId="45" fillId="0" borderId="65" xfId="0" applyFont="1" applyBorder="1" applyAlignment="1">
      <alignment vertical="center" wrapText="1"/>
    </xf>
    <xf numFmtId="177" fontId="186" fillId="0" borderId="65" xfId="0" applyNumberFormat="1" applyFont="1" applyBorder="1" applyAlignment="1">
      <alignment vertical="center"/>
    </xf>
    <xf numFmtId="177" fontId="186" fillId="0" borderId="66" xfId="0" applyNumberFormat="1" applyFont="1" applyBorder="1" applyAlignment="1">
      <alignment vertical="center"/>
    </xf>
    <xf numFmtId="177" fontId="186" fillId="0" borderId="67" xfId="0" applyNumberFormat="1" applyFont="1" applyBorder="1" applyAlignment="1">
      <alignment vertical="center"/>
    </xf>
    <xf numFmtId="0" fontId="45" fillId="0" borderId="64" xfId="0" applyFont="1" applyBorder="1" applyAlignment="1">
      <alignment vertical="center" wrapText="1"/>
    </xf>
    <xf numFmtId="0" fontId="191" fillId="83" borderId="3" xfId="0" applyFont="1" applyFill="1" applyBorder="1" applyAlignment="1">
      <alignment vertical="center" wrapText="1"/>
    </xf>
    <xf numFmtId="0" fontId="191" fillId="83" borderId="16" xfId="0" applyFont="1" applyFill="1" applyBorder="1" applyAlignment="1">
      <alignment vertical="center" wrapText="1"/>
    </xf>
    <xf numFmtId="171" fontId="191" fillId="83" borderId="0" xfId="0" applyNumberFormat="1" applyFont="1" applyFill="1" applyAlignment="1">
      <alignment vertical="center"/>
    </xf>
    <xf numFmtId="170" fontId="191" fillId="84" borderId="9" xfId="0" applyNumberFormat="1" applyFont="1" applyFill="1" applyBorder="1" applyAlignment="1">
      <alignment vertical="center" wrapText="1"/>
    </xf>
    <xf numFmtId="171" fontId="191" fillId="83" borderId="3" xfId="0" applyNumberFormat="1" applyFont="1" applyFill="1" applyBorder="1" applyAlignment="1">
      <alignment vertical="center"/>
    </xf>
    <xf numFmtId="171" fontId="193" fillId="83" borderId="0" xfId="0" applyNumberFormat="1" applyFont="1" applyFill="1" applyAlignment="1">
      <alignment vertical="center"/>
    </xf>
    <xf numFmtId="182" fontId="191" fillId="83" borderId="0" xfId="0" applyNumberFormat="1" applyFont="1" applyFill="1" applyAlignment="1">
      <alignment vertical="center"/>
    </xf>
    <xf numFmtId="0" fontId="209" fillId="78" borderId="0" xfId="0" applyFont="1" applyFill="1"/>
    <xf numFmtId="171" fontId="209" fillId="0" borderId="0" xfId="0" applyNumberFormat="1" applyFont="1"/>
    <xf numFmtId="185" fontId="173" fillId="2" borderId="16" xfId="0" applyNumberFormat="1" applyFont="1" applyFill="1" applyBorder="1" applyAlignment="1">
      <alignment vertical="center" wrapText="1"/>
    </xf>
    <xf numFmtId="0" fontId="177" fillId="0" borderId="0" xfId="0" applyFont="1" applyAlignment="1">
      <alignment horizontal="right" vertical="center" wrapText="1"/>
    </xf>
    <xf numFmtId="0" fontId="190" fillId="75" borderId="68" xfId="0" applyFont="1" applyFill="1" applyBorder="1" applyAlignment="1">
      <alignment horizontal="left" vertical="center" wrapText="1"/>
    </xf>
    <xf numFmtId="185" fontId="21" fillId="2" borderId="68" xfId="0" applyNumberFormat="1" applyFont="1" applyFill="1" applyBorder="1" applyAlignment="1">
      <alignment vertical="center" wrapText="1"/>
    </xf>
    <xf numFmtId="0" fontId="190" fillId="75" borderId="69" xfId="0" applyFont="1" applyFill="1" applyBorder="1" applyAlignment="1">
      <alignment horizontal="left" vertical="center" wrapText="1"/>
    </xf>
    <xf numFmtId="185" fontId="21" fillId="2" borderId="69" xfId="0" applyNumberFormat="1" applyFont="1" applyFill="1" applyBorder="1" applyAlignment="1">
      <alignment vertical="center" wrapText="1"/>
    </xf>
    <xf numFmtId="0" fontId="190" fillId="75" borderId="70" xfId="0" applyFont="1" applyFill="1" applyBorder="1" applyAlignment="1">
      <alignment horizontal="left" vertical="center" wrapText="1"/>
    </xf>
    <xf numFmtId="185" fontId="21" fillId="2" borderId="70" xfId="0" applyNumberFormat="1" applyFont="1" applyFill="1" applyBorder="1" applyAlignment="1">
      <alignment vertical="center" wrapText="1"/>
    </xf>
    <xf numFmtId="0" fontId="191" fillId="75" borderId="70" xfId="0" applyFont="1" applyFill="1" applyBorder="1" applyAlignment="1">
      <alignment horizontal="right" vertical="center"/>
    </xf>
    <xf numFmtId="0" fontId="193" fillId="75" borderId="70" xfId="0" applyFont="1" applyFill="1" applyBorder="1" applyAlignment="1">
      <alignment horizontal="right" vertical="center"/>
    </xf>
    <xf numFmtId="0" fontId="190" fillId="76" borderId="70" xfId="0" applyFont="1" applyFill="1" applyBorder="1" applyAlignment="1">
      <alignment horizontal="right" vertical="center"/>
    </xf>
    <xf numFmtId="0" fontId="190" fillId="75" borderId="70" xfId="0" applyFont="1" applyFill="1" applyBorder="1" applyAlignment="1">
      <alignment horizontal="right" vertical="center"/>
    </xf>
    <xf numFmtId="0" fontId="61" fillId="75" borderId="70" xfId="0" applyFont="1" applyFill="1" applyBorder="1" applyAlignment="1">
      <alignment horizontal="right" vertical="center"/>
    </xf>
    <xf numFmtId="0" fontId="14" fillId="2" borderId="66" xfId="0" applyFont="1" applyFill="1" applyBorder="1" applyAlignment="1">
      <alignment vertical="center" wrapText="1"/>
    </xf>
    <xf numFmtId="170" fontId="14" fillId="2" borderId="66" xfId="0" applyNumberFormat="1" applyFont="1" applyFill="1" applyBorder="1" applyAlignment="1">
      <alignment vertical="center"/>
    </xf>
    <xf numFmtId="170" fontId="171" fillId="3" borderId="67" xfId="0" applyNumberFormat="1" applyFont="1" applyFill="1" applyBorder="1" applyAlignment="1">
      <alignment horizontal="right" vertical="center"/>
    </xf>
    <xf numFmtId="0" fontId="14" fillId="2" borderId="71" xfId="0" applyFont="1" applyFill="1" applyBorder="1" applyAlignment="1">
      <alignment vertical="center" wrapText="1"/>
    </xf>
    <xf numFmtId="170" fontId="14" fillId="2" borderId="71" xfId="0" applyNumberFormat="1" applyFont="1" applyFill="1" applyBorder="1" applyAlignment="1">
      <alignment vertical="center"/>
    </xf>
    <xf numFmtId="170" fontId="171" fillId="3" borderId="72" xfId="0" applyNumberFormat="1" applyFont="1" applyFill="1" applyBorder="1" applyAlignment="1">
      <alignment horizontal="right" vertical="center"/>
    </xf>
    <xf numFmtId="169" fontId="14" fillId="2" borderId="66" xfId="0" applyNumberFormat="1" applyFont="1" applyFill="1" applyBorder="1" applyAlignment="1">
      <alignment vertical="center" wrapText="1"/>
    </xf>
    <xf numFmtId="169" fontId="14" fillId="2" borderId="66" xfId="0" applyNumberFormat="1" applyFont="1" applyFill="1" applyBorder="1" applyAlignment="1">
      <alignment vertical="center"/>
    </xf>
    <xf numFmtId="169" fontId="171" fillId="3" borderId="67" xfId="0" applyNumberFormat="1" applyFont="1" applyFill="1" applyBorder="1" applyAlignment="1">
      <alignment horizontal="right" vertical="center"/>
    </xf>
    <xf numFmtId="0" fontId="200" fillId="75" borderId="0" xfId="0" applyFont="1" applyFill="1" applyAlignment="1">
      <alignment horizontal="right" vertical="center" wrapText="1"/>
    </xf>
    <xf numFmtId="0" fontId="200" fillId="75" borderId="0" xfId="0" applyFont="1" applyFill="1" applyAlignment="1">
      <alignment horizontal="right" vertical="center"/>
    </xf>
    <xf numFmtId="0" fontId="200" fillId="75" borderId="9" xfId="0" applyFont="1" applyFill="1" applyBorder="1" applyAlignment="1">
      <alignment horizontal="right" vertical="center"/>
    </xf>
    <xf numFmtId="0" fontId="61" fillId="75" borderId="74" xfId="0" applyFont="1" applyFill="1" applyBorder="1" applyAlignment="1">
      <alignment vertical="center" wrapText="1"/>
    </xf>
    <xf numFmtId="0" fontId="61" fillId="75" borderId="75" xfId="0" applyFont="1" applyFill="1" applyBorder="1" applyAlignment="1">
      <alignment vertical="center" wrapText="1"/>
    </xf>
    <xf numFmtId="0" fontId="27" fillId="2" borderId="68" xfId="0" applyFont="1" applyFill="1" applyBorder="1"/>
    <xf numFmtId="0" fontId="27" fillId="0" borderId="68" xfId="0" applyFont="1" applyBorder="1"/>
    <xf numFmtId="0" fontId="61" fillId="75" borderId="77" xfId="0" applyFont="1" applyFill="1" applyBorder="1" applyAlignment="1">
      <alignment vertical="center" wrapText="1"/>
    </xf>
    <xf numFmtId="0" fontId="191" fillId="75" borderId="77" xfId="0" applyFont="1" applyFill="1" applyBorder="1" applyAlignment="1">
      <alignment horizontal="right" vertical="center"/>
    </xf>
    <xf numFmtId="0" fontId="191" fillId="75" borderId="69" xfId="0" applyFont="1" applyFill="1" applyBorder="1" applyAlignment="1">
      <alignment horizontal="right" vertical="center"/>
    </xf>
    <xf numFmtId="0" fontId="191" fillId="75" borderId="78" xfId="0" applyFont="1" applyFill="1" applyBorder="1" applyAlignment="1">
      <alignment horizontal="right" vertical="center"/>
    </xf>
    <xf numFmtId="0" fontId="191" fillId="75" borderId="78" xfId="0" applyFont="1" applyFill="1" applyBorder="1" applyAlignment="1">
      <alignment horizontal="right" vertical="center" wrapText="1"/>
    </xf>
    <xf numFmtId="0" fontId="193" fillId="75" borderId="69" xfId="0" applyFont="1" applyFill="1" applyBorder="1" applyAlignment="1">
      <alignment horizontal="right" vertical="center"/>
    </xf>
    <xf numFmtId="0" fontId="11" fillId="0" borderId="69" xfId="0" applyFont="1" applyBorder="1"/>
    <xf numFmtId="0" fontId="193" fillId="75" borderId="70" xfId="0" applyFont="1" applyFill="1" applyBorder="1" applyAlignment="1">
      <alignment vertical="center" wrapText="1"/>
    </xf>
    <xf numFmtId="0" fontId="193" fillId="75" borderId="79" xfId="0" applyFont="1" applyFill="1" applyBorder="1" applyAlignment="1">
      <alignment vertical="center" wrapText="1"/>
    </xf>
    <xf numFmtId="0" fontId="193" fillId="75" borderId="70" xfId="0" applyFont="1" applyFill="1" applyBorder="1" applyAlignment="1">
      <alignment horizontal="right" vertical="center" wrapText="1"/>
    </xf>
    <xf numFmtId="0" fontId="193" fillId="75" borderId="80" xfId="0" applyFont="1" applyFill="1" applyBorder="1" applyAlignment="1">
      <alignment horizontal="right" vertical="center"/>
    </xf>
    <xf numFmtId="0" fontId="11" fillId="0" borderId="70" xfId="0" applyFont="1" applyBorder="1"/>
    <xf numFmtId="0" fontId="214" fillId="2" borderId="0" xfId="0" applyFont="1" applyFill="1" applyAlignment="1">
      <alignment vertical="center"/>
    </xf>
    <xf numFmtId="0" fontId="8" fillId="0" borderId="0" xfId="0" applyFont="1"/>
    <xf numFmtId="0" fontId="190" fillId="75" borderId="81" xfId="0" applyFont="1" applyFill="1" applyBorder="1" applyAlignment="1">
      <alignment horizontal="left" vertical="center" wrapText="1"/>
    </xf>
    <xf numFmtId="0" fontId="191" fillId="79" borderId="82" xfId="0" applyFont="1" applyFill="1" applyBorder="1" applyAlignment="1">
      <alignment horizontal="right" vertical="center" wrapText="1"/>
    </xf>
    <xf numFmtId="0" fontId="190" fillId="75" borderId="81" xfId="0" applyFont="1" applyFill="1" applyBorder="1" applyAlignment="1">
      <alignment horizontal="right" vertical="center" wrapText="1"/>
    </xf>
    <xf numFmtId="182" fontId="191" fillId="79" borderId="82" xfId="0" applyNumberFormat="1" applyFont="1" applyFill="1" applyBorder="1" applyAlignment="1">
      <alignment horizontal="right" vertical="center" wrapText="1"/>
    </xf>
    <xf numFmtId="0" fontId="11" fillId="0" borderId="81" xfId="0" applyFont="1" applyBorder="1" applyAlignment="1">
      <alignment horizontal="center" vertical="center"/>
    </xf>
    <xf numFmtId="0" fontId="190" fillId="75" borderId="83" xfId="0" applyFont="1" applyFill="1" applyBorder="1" applyAlignment="1">
      <alignment horizontal="left" vertical="center" wrapText="1"/>
    </xf>
    <xf numFmtId="0" fontId="191" fillId="79" borderId="83" xfId="0" applyFont="1" applyFill="1" applyBorder="1" applyAlignment="1">
      <alignment horizontal="right" vertical="center" wrapText="1"/>
    </xf>
    <xf numFmtId="0" fontId="190" fillId="75" borderId="83" xfId="0" applyFont="1" applyFill="1" applyBorder="1" applyAlignment="1">
      <alignment horizontal="right" vertical="center" wrapText="1"/>
    </xf>
    <xf numFmtId="182" fontId="191" fillId="79" borderId="83" xfId="0" applyNumberFormat="1" applyFont="1" applyFill="1" applyBorder="1" applyAlignment="1">
      <alignment horizontal="right" vertical="center" wrapText="1"/>
    </xf>
    <xf numFmtId="0" fontId="11" fillId="0" borderId="84" xfId="0" applyFont="1" applyBorder="1" applyAlignment="1">
      <alignment horizontal="center" vertical="center"/>
    </xf>
    <xf numFmtId="0" fontId="11" fillId="0" borderId="0" xfId="0" applyFont="1" applyAlignment="1">
      <alignment horizontal="left" vertical="center"/>
    </xf>
    <xf numFmtId="169" fontId="30" fillId="80" borderId="0" xfId="2" applyNumberFormat="1" applyFont="1" applyFill="1" applyBorder="1" applyAlignment="1">
      <alignment horizontal="right" vertical="center"/>
    </xf>
    <xf numFmtId="169" fontId="11" fillId="0" borderId="0" xfId="2" applyNumberFormat="1" applyFont="1" applyFill="1" applyBorder="1" applyAlignment="1">
      <alignment horizontal="right" vertical="center"/>
    </xf>
    <xf numFmtId="0" fontId="11" fillId="0" borderId="0" xfId="0" applyFont="1" applyAlignment="1">
      <alignment horizontal="center" vertical="center"/>
    </xf>
    <xf numFmtId="167" fontId="30" fillId="80" borderId="0" xfId="2" applyNumberFormat="1" applyFont="1" applyFill="1" applyBorder="1" applyAlignment="1">
      <alignment horizontal="right" vertical="center"/>
    </xf>
    <xf numFmtId="167" fontId="11" fillId="0" borderId="0" xfId="2" applyNumberFormat="1" applyFont="1" applyFill="1" applyBorder="1" applyAlignment="1">
      <alignment horizontal="right" vertical="center"/>
    </xf>
    <xf numFmtId="49" fontId="217" fillId="0" borderId="0" xfId="0" applyNumberFormat="1" applyFont="1"/>
    <xf numFmtId="0" fontId="217" fillId="0" borderId="0" xfId="0" applyFont="1"/>
    <xf numFmtId="173" fontId="32" fillId="2" borderId="9" xfId="0" applyNumberFormat="1" applyFont="1" applyFill="1" applyBorder="1" applyAlignment="1">
      <alignment horizontal="right" vertical="center"/>
    </xf>
    <xf numFmtId="214" fontId="191" fillId="83" borderId="0" xfId="0" applyNumberFormat="1" applyFont="1" applyFill="1" applyAlignment="1">
      <alignment vertical="center"/>
    </xf>
    <xf numFmtId="215" fontId="191" fillId="84" borderId="9" xfId="0" applyNumberFormat="1" applyFont="1" applyFill="1" applyBorder="1" applyAlignment="1">
      <alignment vertical="center" wrapText="1"/>
    </xf>
    <xf numFmtId="0" fontId="190" fillId="75" borderId="69" xfId="0" applyFont="1" applyFill="1" applyBorder="1" applyAlignment="1">
      <alignment horizontal="center" vertical="center" wrapText="1"/>
    </xf>
    <xf numFmtId="169" fontId="209" fillId="0" borderId="0" xfId="0" applyNumberFormat="1" applyFont="1"/>
    <xf numFmtId="169" fontId="22" fillId="0" borderId="0" xfId="0" applyNumberFormat="1" applyFont="1"/>
    <xf numFmtId="0" fontId="191" fillId="75" borderId="0" xfId="0" applyFont="1" applyFill="1" applyAlignment="1">
      <alignment horizontal="center" vertical="center" wrapText="1"/>
    </xf>
    <xf numFmtId="0" fontId="21" fillId="0" borderId="3" xfId="0" applyFont="1" applyBorder="1" applyAlignment="1">
      <alignment vertical="center" wrapText="1"/>
    </xf>
    <xf numFmtId="0" fontId="193" fillId="75" borderId="74" xfId="0" applyFont="1" applyFill="1" applyBorder="1" applyAlignment="1">
      <alignment vertical="center" wrapText="1"/>
    </xf>
    <xf numFmtId="0" fontId="191" fillId="75" borderId="69" xfId="0" applyFont="1" applyFill="1" applyBorder="1" applyAlignment="1">
      <alignment horizontal="center" vertical="center" wrapText="1"/>
    </xf>
    <xf numFmtId="0" fontId="11" fillId="0" borderId="69" xfId="0" applyFont="1" applyBorder="1" applyAlignment="1">
      <alignment vertical="center"/>
    </xf>
    <xf numFmtId="0" fontId="11" fillId="0" borderId="86" xfId="0" applyFont="1" applyBorder="1" applyAlignment="1">
      <alignment vertical="center"/>
    </xf>
    <xf numFmtId="169" fontId="30" fillId="80" borderId="86" xfId="2" applyNumberFormat="1" applyFont="1" applyFill="1" applyBorder="1" applyAlignment="1">
      <alignment horizontal="right" vertical="center"/>
    </xf>
    <xf numFmtId="169" fontId="11" fillId="0" borderId="86" xfId="2" applyNumberFormat="1" applyFont="1" applyFill="1" applyBorder="1" applyAlignment="1">
      <alignment horizontal="right" vertical="center"/>
    </xf>
    <xf numFmtId="215" fontId="32" fillId="0" borderId="9" xfId="0" applyNumberFormat="1" applyFont="1" applyBorder="1" applyAlignment="1">
      <alignment horizontal="right" vertical="center"/>
    </xf>
    <xf numFmtId="0" fontId="190" fillId="75" borderId="87" xfId="0" applyFont="1" applyFill="1" applyBorder="1" applyAlignment="1">
      <alignment horizontal="left" vertical="center" wrapText="1"/>
    </xf>
    <xf numFmtId="0" fontId="190" fillId="75" borderId="78" xfId="0" applyFont="1" applyFill="1" applyBorder="1" applyAlignment="1">
      <alignment horizontal="center" vertical="center" wrapText="1"/>
    </xf>
    <xf numFmtId="0" fontId="190" fillId="75" borderId="77" xfId="0" applyFont="1" applyFill="1" applyBorder="1" applyAlignment="1">
      <alignment horizontal="center" vertical="center" wrapText="1"/>
    </xf>
    <xf numFmtId="0" fontId="190" fillId="75" borderId="88" xfId="0" applyFont="1" applyFill="1" applyBorder="1" applyAlignment="1">
      <alignment horizontal="left" vertical="center" wrapText="1"/>
    </xf>
    <xf numFmtId="0" fontId="190" fillId="75" borderId="79" xfId="0" applyFont="1" applyFill="1" applyBorder="1" applyAlignment="1">
      <alignment horizontal="left" vertical="center" wrapText="1"/>
    </xf>
    <xf numFmtId="0" fontId="191" fillId="79" borderId="70" xfId="0" applyFont="1" applyFill="1" applyBorder="1" applyAlignment="1">
      <alignment horizontal="right" vertical="center"/>
    </xf>
    <xf numFmtId="0" fontId="191" fillId="75" borderId="85" xfId="0" applyFont="1" applyFill="1" applyBorder="1" applyAlignment="1">
      <alignment horizontal="right" vertical="center"/>
    </xf>
    <xf numFmtId="0" fontId="191" fillId="79" borderId="80" xfId="0" applyFont="1" applyFill="1" applyBorder="1" applyAlignment="1">
      <alignment horizontal="right" vertical="center"/>
    </xf>
    <xf numFmtId="215" fontId="191" fillId="83" borderId="73" xfId="0" applyNumberFormat="1" applyFont="1" applyFill="1" applyBorder="1" applyAlignment="1">
      <alignment vertical="center"/>
    </xf>
    <xf numFmtId="185" fontId="11" fillId="0" borderId="0" xfId="0" applyNumberFormat="1" applyFont="1"/>
    <xf numFmtId="177" fontId="11" fillId="0" borderId="0" xfId="0" applyNumberFormat="1" applyFont="1"/>
    <xf numFmtId="185" fontId="30" fillId="0" borderId="0" xfId="0" applyNumberFormat="1" applyFont="1"/>
    <xf numFmtId="182" fontId="11" fillId="0" borderId="0" xfId="0" applyNumberFormat="1" applyFont="1"/>
    <xf numFmtId="185" fontId="22" fillId="0" borderId="0" xfId="0" applyNumberFormat="1" applyFont="1"/>
    <xf numFmtId="0" fontId="190" fillId="0" borderId="83" xfId="0" applyFont="1" applyBorder="1" applyAlignment="1">
      <alignment horizontal="right" vertical="center" wrapText="1"/>
    </xf>
    <xf numFmtId="182" fontId="191" fillId="0" borderId="83" xfId="0" applyNumberFormat="1" applyFont="1" applyBorder="1" applyAlignment="1">
      <alignment horizontal="right" vertical="center" wrapText="1"/>
    </xf>
    <xf numFmtId="169" fontId="45" fillId="85" borderId="57" xfId="0" applyNumberFormat="1" applyFont="1" applyFill="1" applyBorder="1" applyAlignment="1">
      <alignment vertical="center" wrapText="1"/>
    </xf>
    <xf numFmtId="10" fontId="45" fillId="85" borderId="57" xfId="0" applyNumberFormat="1" applyFont="1" applyFill="1" applyBorder="1" applyAlignment="1">
      <alignment vertical="center" wrapText="1"/>
    </xf>
    <xf numFmtId="10" fontId="44" fillId="85" borderId="60" xfId="0" applyNumberFormat="1" applyFont="1" applyFill="1" applyBorder="1" applyAlignment="1">
      <alignment vertical="center" wrapText="1"/>
    </xf>
    <xf numFmtId="10" fontId="44" fillId="85" borderId="9" xfId="0" applyNumberFormat="1" applyFont="1" applyFill="1" applyBorder="1" applyAlignment="1">
      <alignment vertical="center" wrapText="1"/>
    </xf>
    <xf numFmtId="10" fontId="44" fillId="85" borderId="13" xfId="0" applyNumberFormat="1" applyFont="1" applyFill="1" applyBorder="1" applyAlignment="1">
      <alignment vertical="center" wrapText="1"/>
    </xf>
    <xf numFmtId="169" fontId="45" fillId="85" borderId="9" xfId="0" applyNumberFormat="1" applyFont="1" applyFill="1" applyBorder="1" applyAlignment="1">
      <alignment vertical="center" wrapText="1"/>
    </xf>
    <xf numFmtId="3" fontId="44" fillId="85" borderId="52" xfId="0" applyNumberFormat="1" applyFont="1" applyFill="1" applyBorder="1" applyAlignment="1">
      <alignment vertical="center" wrapText="1"/>
    </xf>
    <xf numFmtId="3" fontId="45" fillId="85" borderId="57" xfId="0" applyNumberFormat="1" applyFont="1" applyFill="1" applyBorder="1" applyAlignment="1">
      <alignment vertical="center" wrapText="1"/>
    </xf>
    <xf numFmtId="170" fontId="211" fillId="85" borderId="50" xfId="0" applyNumberFormat="1" applyFont="1" applyFill="1" applyBorder="1" applyAlignment="1">
      <alignment vertical="center" wrapText="1"/>
    </xf>
    <xf numFmtId="170" fontId="50" fillId="85" borderId="9" xfId="0" applyNumberFormat="1" applyFont="1" applyFill="1" applyBorder="1" applyAlignment="1">
      <alignment vertical="center" wrapText="1"/>
    </xf>
    <xf numFmtId="170" fontId="50" fillId="85" borderId="13" xfId="0" applyNumberFormat="1" applyFont="1" applyFill="1" applyBorder="1" applyAlignment="1">
      <alignment vertical="center" wrapText="1"/>
    </xf>
    <xf numFmtId="170" fontId="171" fillId="85" borderId="50" xfId="0" applyNumberFormat="1" applyFont="1" applyFill="1" applyBorder="1" applyAlignment="1">
      <alignment vertical="center" wrapText="1"/>
    </xf>
    <xf numFmtId="3" fontId="171" fillId="85" borderId="50" xfId="0" applyNumberFormat="1" applyFont="1" applyFill="1" applyBorder="1" applyAlignment="1">
      <alignment vertical="center" wrapText="1"/>
    </xf>
    <xf numFmtId="3" fontId="50" fillId="85" borderId="9" xfId="0" applyNumberFormat="1" applyFont="1" applyFill="1" applyBorder="1" applyAlignment="1">
      <alignment vertical="center" wrapText="1"/>
    </xf>
    <xf numFmtId="3" fontId="50" fillId="85" borderId="13" xfId="0" applyNumberFormat="1" applyFont="1" applyFill="1" applyBorder="1" applyAlignment="1">
      <alignment vertical="center" wrapText="1"/>
    </xf>
    <xf numFmtId="3" fontId="212" fillId="85" borderId="50" xfId="0" applyNumberFormat="1" applyFont="1" applyFill="1" applyBorder="1" applyAlignment="1">
      <alignment vertical="center" wrapText="1"/>
    </xf>
    <xf numFmtId="0" fontId="49" fillId="2" borderId="0" xfId="0" applyFont="1" applyFill="1" applyAlignment="1">
      <alignment horizontal="left" vertical="center" wrapText="1" indent="3"/>
    </xf>
    <xf numFmtId="170" fontId="49" fillId="2" borderId="0" xfId="0" applyNumberFormat="1" applyFont="1" applyFill="1" applyAlignment="1">
      <alignment vertical="center"/>
    </xf>
    <xf numFmtId="170" fontId="30" fillId="3" borderId="9" xfId="0" applyNumberFormat="1" applyFont="1" applyFill="1" applyBorder="1" applyAlignment="1">
      <alignment horizontal="right" vertical="center"/>
    </xf>
    <xf numFmtId="0" fontId="49" fillId="2" borderId="0" xfId="0" applyFont="1" applyFill="1"/>
    <xf numFmtId="0" fontId="49" fillId="2" borderId="0" xfId="0" applyFont="1" applyFill="1" applyAlignment="1">
      <alignment horizontal="right" vertical="center" wrapText="1"/>
    </xf>
    <xf numFmtId="170" fontId="49" fillId="2" borderId="0" xfId="0" applyNumberFormat="1" applyFont="1" applyFill="1" applyAlignment="1">
      <alignment horizontal="right" vertical="center"/>
    </xf>
    <xf numFmtId="0" fontId="26" fillId="2" borderId="0" xfId="0" applyFont="1" applyFill="1" applyAlignment="1">
      <alignment horizontal="left" vertical="center" wrapText="1" indent="3"/>
    </xf>
    <xf numFmtId="170" fontId="26" fillId="2" borderId="0" xfId="0" applyNumberFormat="1" applyFont="1" applyFill="1" applyAlignment="1">
      <alignment vertical="center"/>
    </xf>
    <xf numFmtId="0" fontId="23" fillId="2" borderId="0" xfId="0" applyFont="1" applyFill="1" applyAlignment="1">
      <alignment vertical="center"/>
    </xf>
    <xf numFmtId="0" fontId="23" fillId="0" borderId="0" xfId="0" applyFont="1" applyAlignment="1">
      <alignment vertical="center"/>
    </xf>
    <xf numFmtId="0" fontId="26" fillId="2" borderId="0" xfId="0" applyFont="1" applyFill="1" applyAlignment="1">
      <alignment horizontal="left" vertical="center" wrapText="1" indent="2"/>
    </xf>
    <xf numFmtId="170" fontId="46" fillId="80" borderId="0" xfId="0" applyNumberFormat="1" applyFont="1" applyFill="1" applyAlignment="1">
      <alignment vertical="center" wrapText="1"/>
    </xf>
    <xf numFmtId="170" fontId="46" fillId="80" borderId="9" xfId="0" applyNumberFormat="1" applyFont="1" applyFill="1" applyBorder="1" applyAlignment="1">
      <alignment vertical="center" wrapText="1"/>
    </xf>
    <xf numFmtId="170" fontId="176" fillId="80" borderId="0" xfId="0" applyNumberFormat="1" applyFont="1" applyFill="1" applyAlignment="1">
      <alignment vertical="center" wrapText="1"/>
    </xf>
    <xf numFmtId="0" fontId="26" fillId="0" borderId="0" xfId="0" applyFont="1" applyAlignment="1">
      <alignment vertical="center" wrapText="1"/>
    </xf>
    <xf numFmtId="0" fontId="26" fillId="2" borderId="0" xfId="0" applyFont="1" applyFill="1" applyAlignment="1">
      <alignment vertical="center"/>
    </xf>
    <xf numFmtId="0" fontId="26" fillId="0" borderId="0" xfId="0" applyFont="1" applyAlignment="1">
      <alignment vertical="center"/>
    </xf>
    <xf numFmtId="184" fontId="26" fillId="2" borderId="0" xfId="0" applyNumberFormat="1" applyFont="1" applyFill="1" applyAlignment="1">
      <alignment vertical="center"/>
    </xf>
    <xf numFmtId="184" fontId="30" fillId="3" borderId="9" xfId="0" applyNumberFormat="1" applyFont="1" applyFill="1" applyBorder="1" applyAlignment="1">
      <alignment horizontal="right" vertical="center"/>
    </xf>
    <xf numFmtId="181" fontId="176" fillId="80" borderId="0" xfId="0" applyNumberFormat="1" applyFont="1" applyFill="1" applyAlignment="1">
      <alignment vertical="center" wrapText="1"/>
    </xf>
    <xf numFmtId="0" fontId="219" fillId="0" borderId="0" xfId="0" applyFont="1" applyAlignment="1">
      <alignment horizontal="right" vertical="center"/>
    </xf>
    <xf numFmtId="0" fontId="179" fillId="0" borderId="0" xfId="0" applyFont="1"/>
    <xf numFmtId="170" fontId="49" fillId="0" borderId="0" xfId="0" applyNumberFormat="1" applyFont="1" applyAlignment="1">
      <alignment vertical="center"/>
    </xf>
    <xf numFmtId="170" fontId="49" fillId="0" borderId="0" xfId="0" applyNumberFormat="1" applyFont="1" applyAlignment="1">
      <alignment horizontal="right" vertical="center"/>
    </xf>
    <xf numFmtId="0" fontId="190" fillId="75" borderId="90" xfId="0" applyFont="1" applyFill="1" applyBorder="1" applyAlignment="1">
      <alignment horizontal="left" vertical="center" wrapText="1"/>
    </xf>
    <xf numFmtId="0" fontId="14" fillId="2" borderId="91" xfId="0" applyFont="1" applyFill="1" applyBorder="1" applyAlignment="1">
      <alignment vertical="center" wrapText="1"/>
    </xf>
    <xf numFmtId="0" fontId="26" fillId="2" borderId="92" xfId="0" applyFont="1" applyFill="1" applyBorder="1" applyAlignment="1">
      <alignment horizontal="left" vertical="center" wrapText="1" indent="4"/>
    </xf>
    <xf numFmtId="0" fontId="14" fillId="2" borderId="93" xfId="0" applyFont="1" applyFill="1" applyBorder="1" applyAlignment="1">
      <alignment vertical="center" wrapText="1"/>
    </xf>
    <xf numFmtId="170" fontId="176" fillId="80" borderId="94" xfId="0" applyNumberFormat="1" applyFont="1" applyFill="1" applyBorder="1" applyAlignment="1">
      <alignment horizontal="left" vertical="center" wrapText="1" indent="4"/>
    </xf>
    <xf numFmtId="0" fontId="49" fillId="2" borderId="92" xfId="0" applyFont="1" applyFill="1" applyBorder="1" applyAlignment="1">
      <alignment horizontal="left" vertical="center" wrapText="1" indent="4"/>
    </xf>
    <xf numFmtId="169" fontId="14" fillId="2" borderId="93" xfId="0" applyNumberFormat="1" applyFont="1" applyFill="1" applyBorder="1" applyAlignment="1">
      <alignment vertical="center" wrapText="1"/>
    </xf>
    <xf numFmtId="170" fontId="45" fillId="80" borderId="71" xfId="0" applyNumberFormat="1" applyFont="1" applyFill="1" applyBorder="1" applyAlignment="1">
      <alignment vertical="center" wrapText="1"/>
    </xf>
    <xf numFmtId="170" fontId="45" fillId="80" borderId="66" xfId="0" applyNumberFormat="1" applyFont="1" applyFill="1" applyBorder="1" applyAlignment="1">
      <alignment vertical="center" wrapText="1"/>
    </xf>
    <xf numFmtId="169" fontId="45" fillId="80" borderId="66" xfId="0" applyNumberFormat="1" applyFont="1" applyFill="1" applyBorder="1" applyAlignment="1">
      <alignment vertical="center" wrapText="1"/>
    </xf>
    <xf numFmtId="0" fontId="191" fillId="75" borderId="96" xfId="0" applyFont="1" applyFill="1" applyBorder="1" applyAlignment="1">
      <alignment horizontal="right" vertical="center"/>
    </xf>
    <xf numFmtId="170" fontId="14" fillId="2" borderId="97" xfId="0" applyNumberFormat="1" applyFont="1" applyFill="1" applyBorder="1" applyAlignment="1">
      <alignment vertical="center"/>
    </xf>
    <xf numFmtId="170" fontId="45" fillId="80" borderId="98" xfId="0" applyNumberFormat="1" applyFont="1" applyFill="1" applyBorder="1" applyAlignment="1">
      <alignment vertical="center" wrapText="1"/>
    </xf>
    <xf numFmtId="170" fontId="26" fillId="2" borderId="99" xfId="0" applyNumberFormat="1" applyFont="1" applyFill="1" applyBorder="1" applyAlignment="1">
      <alignment vertical="center"/>
    </xf>
    <xf numFmtId="170" fontId="176" fillId="80" borderId="94" xfId="0" applyNumberFormat="1" applyFont="1" applyFill="1" applyBorder="1" applyAlignment="1">
      <alignment vertical="center" wrapText="1"/>
    </xf>
    <xf numFmtId="184" fontId="26" fillId="2" borderId="99" xfId="0" applyNumberFormat="1" applyFont="1" applyFill="1" applyBorder="1" applyAlignment="1">
      <alignment vertical="center"/>
    </xf>
    <xf numFmtId="170" fontId="14" fillId="2" borderId="100" xfId="0" applyNumberFormat="1" applyFont="1" applyFill="1" applyBorder="1" applyAlignment="1">
      <alignment vertical="center"/>
    </xf>
    <xf numFmtId="170" fontId="45" fillId="80" borderId="101" xfId="0" applyNumberFormat="1" applyFont="1" applyFill="1" applyBorder="1" applyAlignment="1">
      <alignment vertical="center" wrapText="1"/>
    </xf>
    <xf numFmtId="170" fontId="46" fillId="80" borderId="99" xfId="0" applyNumberFormat="1" applyFont="1" applyFill="1" applyBorder="1" applyAlignment="1">
      <alignment vertical="center" wrapText="1"/>
    </xf>
    <xf numFmtId="170" fontId="46" fillId="80" borderId="94" xfId="0" applyNumberFormat="1" applyFont="1" applyFill="1" applyBorder="1" applyAlignment="1">
      <alignment vertical="center" wrapText="1"/>
    </xf>
    <xf numFmtId="170" fontId="49" fillId="2" borderId="99" xfId="0" applyNumberFormat="1" applyFont="1" applyFill="1" applyBorder="1" applyAlignment="1">
      <alignment vertical="center"/>
    </xf>
    <xf numFmtId="170" fontId="49" fillId="2" borderId="99" xfId="0" applyNumberFormat="1" applyFont="1" applyFill="1" applyBorder="1" applyAlignment="1">
      <alignment horizontal="right" vertical="center"/>
    </xf>
    <xf numFmtId="169" fontId="14" fillId="2" borderId="100" xfId="0" applyNumberFormat="1" applyFont="1" applyFill="1" applyBorder="1" applyAlignment="1">
      <alignment vertical="center"/>
    </xf>
    <xf numFmtId="169" fontId="45" fillId="80" borderId="101" xfId="0" applyNumberFormat="1" applyFont="1" applyFill="1" applyBorder="1" applyAlignment="1">
      <alignment vertical="center" wrapText="1"/>
    </xf>
    <xf numFmtId="173" fontId="176" fillId="80" borderId="94" xfId="0" applyNumberFormat="1" applyFont="1" applyFill="1" applyBorder="1" applyAlignment="1">
      <alignment vertical="center" wrapText="1"/>
    </xf>
    <xf numFmtId="170" fontId="176" fillId="80" borderId="99" xfId="0" applyNumberFormat="1" applyFont="1" applyFill="1" applyBorder="1" applyAlignment="1">
      <alignment vertical="center" wrapText="1"/>
    </xf>
    <xf numFmtId="0" fontId="14" fillId="2" borderId="95" xfId="0" applyFont="1" applyFill="1" applyBorder="1" applyAlignment="1">
      <alignment vertical="center" wrapText="1"/>
    </xf>
    <xf numFmtId="0" fontId="26" fillId="2" borderId="102" xfId="0" applyFont="1" applyFill="1" applyBorder="1" applyAlignment="1">
      <alignment horizontal="left" vertical="center" wrapText="1" indent="3"/>
    </xf>
    <xf numFmtId="0" fontId="14" fillId="2" borderId="103" xfId="0" applyFont="1" applyFill="1" applyBorder="1" applyAlignment="1">
      <alignment vertical="center" wrapText="1"/>
    </xf>
    <xf numFmtId="170" fontId="176" fillId="80" borderId="102" xfId="0" applyNumberFormat="1" applyFont="1" applyFill="1" applyBorder="1" applyAlignment="1">
      <alignment horizontal="left" vertical="center" wrapText="1" indent="4"/>
    </xf>
    <xf numFmtId="0" fontId="49" fillId="2" borderId="102" xfId="0" applyFont="1" applyFill="1" applyBorder="1" applyAlignment="1">
      <alignment horizontal="left" vertical="center" wrapText="1" indent="3"/>
    </xf>
    <xf numFmtId="169" fontId="14" fillId="2" borderId="103" xfId="0" applyNumberFormat="1" applyFont="1" applyFill="1" applyBorder="1" applyAlignment="1">
      <alignment vertical="center" wrapText="1"/>
    </xf>
    <xf numFmtId="0" fontId="191" fillId="75" borderId="89" xfId="0" applyFont="1" applyFill="1" applyBorder="1" applyAlignment="1">
      <alignment horizontal="right" vertical="center"/>
    </xf>
    <xf numFmtId="182" fontId="176" fillId="80" borderId="94" xfId="0" applyNumberFormat="1" applyFont="1" applyFill="1" applyBorder="1" applyAlignment="1">
      <alignment vertical="center" wrapText="1"/>
    </xf>
    <xf numFmtId="169" fontId="45" fillId="80" borderId="101" xfId="7" applyNumberFormat="1" applyFont="1" applyFill="1" applyBorder="1" applyAlignment="1">
      <alignment vertical="center" wrapText="1"/>
    </xf>
    <xf numFmtId="0" fontId="20" fillId="2" borderId="0" xfId="20233" applyFont="1" applyFill="1" applyAlignment="1">
      <alignment vertical="center"/>
    </xf>
    <xf numFmtId="0" fontId="27" fillId="2" borderId="0" xfId="20233" applyFont="1" applyFill="1" applyAlignment="1">
      <alignment vertical="center"/>
    </xf>
    <xf numFmtId="0" fontId="27" fillId="0" borderId="0" xfId="20233" applyFont="1" applyAlignment="1">
      <alignment vertical="center"/>
    </xf>
    <xf numFmtId="4" fontId="8" fillId="2" borderId="0" xfId="20233" applyNumberFormat="1" applyFont="1" applyFill="1" applyAlignment="1">
      <alignment vertical="center"/>
    </xf>
    <xf numFmtId="0" fontId="8" fillId="2" borderId="0" xfId="20233" applyFont="1" applyFill="1" applyAlignment="1">
      <alignment vertical="center"/>
    </xf>
    <xf numFmtId="0" fontId="193" fillId="75" borderId="104" xfId="20233" applyFont="1" applyFill="1" applyBorder="1" applyAlignment="1">
      <alignment vertical="center" wrapText="1"/>
    </xf>
    <xf numFmtId="0" fontId="209" fillId="0" borderId="0" xfId="20233" applyFont="1" applyAlignment="1">
      <alignment vertical="center"/>
    </xf>
    <xf numFmtId="0" fontId="193" fillId="75" borderId="0" xfId="20233" applyFont="1" applyFill="1" applyAlignment="1">
      <alignment horizontal="center" vertical="center"/>
    </xf>
    <xf numFmtId="0" fontId="193" fillId="75" borderId="105" xfId="20233" applyFont="1" applyFill="1" applyBorder="1" applyAlignment="1">
      <alignment horizontal="center" vertical="center"/>
    </xf>
    <xf numFmtId="0" fontId="193" fillId="75" borderId="106" xfId="20233" applyFont="1" applyFill="1" applyBorder="1" applyAlignment="1">
      <alignment horizontal="center" vertical="center"/>
    </xf>
    <xf numFmtId="0" fontId="193" fillId="86" borderId="104" xfId="20233" applyFont="1" applyFill="1" applyBorder="1" applyAlignment="1">
      <alignment vertical="center" wrapText="1"/>
    </xf>
    <xf numFmtId="169" fontId="220" fillId="86" borderId="0" xfId="29659" applyNumberFormat="1" applyFont="1" applyFill="1" applyBorder="1" applyAlignment="1">
      <alignment horizontal="right" vertical="center" wrapText="1"/>
    </xf>
    <xf numFmtId="169" fontId="220" fillId="86" borderId="105" xfId="29659" applyNumberFormat="1" applyFont="1" applyFill="1" applyBorder="1" applyAlignment="1">
      <alignment horizontal="right" vertical="center" wrapText="1"/>
    </xf>
    <xf numFmtId="169" fontId="220" fillId="86" borderId="108" xfId="29659" applyNumberFormat="1" applyFont="1" applyFill="1" applyBorder="1" applyAlignment="1">
      <alignment horizontal="right" vertical="center" wrapText="1"/>
    </xf>
    <xf numFmtId="0" fontId="221" fillId="2" borderId="0" xfId="20233" applyFont="1" applyFill="1" applyAlignment="1">
      <alignment vertical="center"/>
    </xf>
    <xf numFmtId="0" fontId="17" fillId="0" borderId="104" xfId="20233" applyFont="1" applyBorder="1" applyAlignment="1">
      <alignment horizontal="left" vertical="center" wrapText="1"/>
    </xf>
    <xf numFmtId="0" fontId="17" fillId="0" borderId="104" xfId="20233" applyFont="1" applyBorder="1" applyAlignment="1">
      <alignment horizontal="left" vertical="center"/>
    </xf>
    <xf numFmtId="3" fontId="36" fillId="0" borderId="0" xfId="20233" applyNumberFormat="1" applyFont="1" applyAlignment="1">
      <alignment horizontal="right" vertical="center" wrapText="1"/>
    </xf>
    <xf numFmtId="3" fontId="36" fillId="0" borderId="105" xfId="20233" applyNumberFormat="1" applyFont="1" applyBorder="1" applyAlignment="1">
      <alignment horizontal="right" vertical="center" wrapText="1"/>
    </xf>
    <xf numFmtId="3" fontId="36" fillId="0" borderId="108" xfId="20233" applyNumberFormat="1" applyFont="1" applyBorder="1" applyAlignment="1">
      <alignment horizontal="right" vertical="center" wrapText="1"/>
    </xf>
    <xf numFmtId="3" fontId="8" fillId="0" borderId="0" xfId="20233" applyNumberFormat="1" applyFont="1" applyAlignment="1">
      <alignment vertical="center"/>
    </xf>
    <xf numFmtId="0" fontId="8" fillId="0" borderId="0" xfId="20233" applyFont="1" applyAlignment="1">
      <alignment vertical="center"/>
    </xf>
    <xf numFmtId="0" fontId="37" fillId="0" borderId="104" xfId="20233" applyFont="1" applyBorder="1" applyAlignment="1">
      <alignment horizontal="left" vertical="center" wrapText="1" indent="1"/>
    </xf>
    <xf numFmtId="216" fontId="8" fillId="0" borderId="0" xfId="42855" applyNumberFormat="1" applyFont="1" applyFill="1" applyBorder="1" applyAlignment="1">
      <alignment vertical="center"/>
    </xf>
    <xf numFmtId="216" fontId="8" fillId="0" borderId="108" xfId="42855" applyNumberFormat="1" applyFont="1" applyFill="1" applyBorder="1" applyAlignment="1">
      <alignment vertical="center"/>
    </xf>
    <xf numFmtId="216" fontId="8" fillId="0" borderId="107" xfId="42855" applyNumberFormat="1" applyFont="1" applyFill="1" applyBorder="1" applyAlignment="1">
      <alignment vertical="center"/>
    </xf>
    <xf numFmtId="0" fontId="222" fillId="0" borderId="0" xfId="20233" applyFont="1" applyAlignment="1">
      <alignment vertical="center"/>
    </xf>
    <xf numFmtId="170" fontId="37" fillId="0" borderId="104" xfId="20233" applyNumberFormat="1" applyFont="1" applyBorder="1" applyAlignment="1">
      <alignment horizontal="left" vertical="center" wrapText="1"/>
    </xf>
    <xf numFmtId="170" fontId="37" fillId="0" borderId="104" xfId="20233" applyNumberFormat="1" applyFont="1" applyBorder="1" applyAlignment="1">
      <alignment horizontal="left" vertical="center"/>
    </xf>
    <xf numFmtId="170" fontId="19" fillId="0" borderId="0" xfId="20233" applyNumberFormat="1" applyFont="1" applyAlignment="1">
      <alignment horizontal="right" vertical="center" wrapText="1"/>
    </xf>
    <xf numFmtId="170" fontId="19" fillId="0" borderId="105" xfId="20233" applyNumberFormat="1" applyFont="1" applyBorder="1" applyAlignment="1">
      <alignment horizontal="right" vertical="center" wrapText="1"/>
    </xf>
    <xf numFmtId="170" fontId="19" fillId="0" borderId="108" xfId="20233" applyNumberFormat="1" applyFont="1" applyBorder="1" applyAlignment="1">
      <alignment horizontal="right" vertical="center" wrapText="1"/>
    </xf>
    <xf numFmtId="170" fontId="8" fillId="0" borderId="0" xfId="20233" applyNumberFormat="1" applyFont="1" applyAlignment="1">
      <alignment vertical="center"/>
    </xf>
    <xf numFmtId="0" fontId="37" fillId="0" borderId="104" xfId="20233" applyFont="1" applyBorder="1" applyAlignment="1">
      <alignment horizontal="left" vertical="center" wrapText="1"/>
    </xf>
    <xf numFmtId="169" fontId="19" fillId="0" borderId="0" xfId="20233" applyNumberFormat="1" applyFont="1" applyAlignment="1">
      <alignment horizontal="right" vertical="center" wrapText="1"/>
    </xf>
    <xf numFmtId="169" fontId="19" fillId="0" borderId="105" xfId="20233" applyNumberFormat="1" applyFont="1" applyBorder="1" applyAlignment="1">
      <alignment horizontal="right" vertical="center" wrapText="1"/>
    </xf>
    <xf numFmtId="169" fontId="19" fillId="0" borderId="108" xfId="20233" applyNumberFormat="1" applyFont="1" applyBorder="1" applyAlignment="1">
      <alignment horizontal="right" vertical="center" wrapText="1"/>
    </xf>
    <xf numFmtId="2" fontId="19" fillId="0" borderId="0" xfId="20233" applyNumberFormat="1" applyFont="1" applyAlignment="1">
      <alignment horizontal="right" vertical="center" wrapText="1"/>
    </xf>
    <xf numFmtId="2" fontId="19" fillId="0" borderId="105" xfId="20233" applyNumberFormat="1" applyFont="1" applyBorder="1" applyAlignment="1">
      <alignment horizontal="right" vertical="center" wrapText="1"/>
    </xf>
    <xf numFmtId="2" fontId="19" fillId="0" borderId="108" xfId="20233" applyNumberFormat="1" applyFont="1" applyBorder="1" applyAlignment="1">
      <alignment horizontal="right" vertical="center" wrapText="1"/>
    </xf>
    <xf numFmtId="3" fontId="17" fillId="0" borderId="104" xfId="20233" applyNumberFormat="1" applyFont="1" applyBorder="1" applyAlignment="1">
      <alignment horizontal="left" vertical="center" wrapText="1"/>
    </xf>
    <xf numFmtId="3" fontId="17" fillId="0" borderId="104" xfId="20233" applyNumberFormat="1" applyFont="1" applyBorder="1" applyAlignment="1">
      <alignment horizontal="left" vertical="center"/>
    </xf>
    <xf numFmtId="3" fontId="37" fillId="0" borderId="104" xfId="20233" applyNumberFormat="1" applyFont="1" applyBorder="1" applyAlignment="1">
      <alignment horizontal="left" vertical="center" wrapText="1" indent="1"/>
    </xf>
    <xf numFmtId="3" fontId="19" fillId="0" borderId="0" xfId="20233" applyNumberFormat="1" applyFont="1" applyAlignment="1">
      <alignment horizontal="right" vertical="center" wrapText="1"/>
    </xf>
    <xf numFmtId="3" fontId="19" fillId="0" borderId="105" xfId="20233" applyNumberFormat="1" applyFont="1" applyBorder="1" applyAlignment="1">
      <alignment horizontal="right" vertical="center" wrapText="1"/>
    </xf>
    <xf numFmtId="3" fontId="19" fillId="0" borderId="108" xfId="20233" applyNumberFormat="1" applyFont="1" applyBorder="1" applyAlignment="1">
      <alignment horizontal="right" vertical="center" wrapText="1"/>
    </xf>
    <xf numFmtId="170" fontId="19" fillId="0" borderId="109" xfId="20233" applyNumberFormat="1" applyFont="1" applyBorder="1" applyAlignment="1">
      <alignment horizontal="left" vertical="center" wrapText="1"/>
    </xf>
    <xf numFmtId="170" fontId="37" fillId="0" borderId="109" xfId="20233" applyNumberFormat="1" applyFont="1" applyBorder="1" applyAlignment="1">
      <alignment horizontal="left" vertical="center"/>
    </xf>
    <xf numFmtId="170" fontId="19" fillId="0" borderId="110" xfId="20233" applyNumberFormat="1" applyFont="1" applyBorder="1" applyAlignment="1">
      <alignment horizontal="right" vertical="center" wrapText="1"/>
    </xf>
    <xf numFmtId="170" fontId="19" fillId="0" borderId="111" xfId="20233" applyNumberFormat="1" applyFont="1" applyBorder="1" applyAlignment="1">
      <alignment horizontal="right" vertical="center" wrapText="1"/>
    </xf>
    <xf numFmtId="170" fontId="19" fillId="0" borderId="112" xfId="20233" applyNumberFormat="1" applyFont="1" applyBorder="1" applyAlignment="1">
      <alignment horizontal="right" vertical="center" wrapText="1"/>
    </xf>
    <xf numFmtId="170" fontId="37" fillId="0" borderId="113" xfId="20233" applyNumberFormat="1" applyFont="1" applyBorder="1" applyAlignment="1">
      <alignment horizontal="left" vertical="center" wrapText="1"/>
    </xf>
    <xf numFmtId="170" fontId="37" fillId="0" borderId="113" xfId="20233" applyNumberFormat="1" applyFont="1" applyBorder="1" applyAlignment="1">
      <alignment horizontal="left" vertical="center"/>
    </xf>
    <xf numFmtId="3" fontId="19" fillId="0" borderId="114" xfId="20233" applyNumberFormat="1" applyFont="1" applyBorder="1" applyAlignment="1">
      <alignment horizontal="right" vertical="center" wrapText="1"/>
    </xf>
    <xf numFmtId="3" fontId="19" fillId="0" borderId="115" xfId="20233" applyNumberFormat="1" applyFont="1" applyBorder="1" applyAlignment="1">
      <alignment horizontal="right" vertical="center" wrapText="1"/>
    </xf>
    <xf numFmtId="3" fontId="19" fillId="0" borderId="116" xfId="20233" applyNumberFormat="1" applyFont="1" applyBorder="1" applyAlignment="1">
      <alignment horizontal="right" vertical="center" wrapText="1"/>
    </xf>
    <xf numFmtId="0" fontId="47" fillId="0" borderId="0" xfId="20233" applyFont="1" applyAlignment="1">
      <alignment horizontal="left" vertical="top" wrapText="1"/>
    </xf>
    <xf numFmtId="0" fontId="8" fillId="0" borderId="0" xfId="20233" applyFont="1" applyAlignment="1">
      <alignment horizontal="left" vertical="top" wrapText="1"/>
    </xf>
    <xf numFmtId="170" fontId="8" fillId="0" borderId="0" xfId="20233" applyNumberFormat="1" applyFont="1" applyAlignment="1">
      <alignment vertical="top"/>
    </xf>
    <xf numFmtId="0" fontId="8" fillId="0" borderId="0" xfId="20233" applyFont="1" applyAlignment="1">
      <alignment vertical="top"/>
    </xf>
    <xf numFmtId="3" fontId="8" fillId="0" borderId="0" xfId="26619" applyNumberFormat="1" applyFont="1" applyFill="1" applyBorder="1" applyAlignment="1">
      <alignment vertical="center"/>
    </xf>
    <xf numFmtId="0" fontId="47" fillId="0" borderId="0" xfId="20233" applyFont="1" applyAlignment="1">
      <alignment vertical="top" wrapText="1"/>
    </xf>
    <xf numFmtId="0" fontId="224" fillId="0" borderId="0" xfId="20233" applyFont="1" applyAlignment="1">
      <alignment horizontal="left" vertical="top" wrapText="1"/>
    </xf>
    <xf numFmtId="0" fontId="181" fillId="2" borderId="51" xfId="0" applyFont="1" applyFill="1" applyBorder="1" applyAlignment="1">
      <alignment vertical="center" wrapText="1"/>
    </xf>
    <xf numFmtId="3" fontId="48" fillId="0" borderId="52" xfId="0" applyNumberFormat="1" applyFont="1" applyBorder="1" applyAlignment="1">
      <alignment horizontal="right" vertical="center" wrapText="1"/>
    </xf>
    <xf numFmtId="217" fontId="30" fillId="2" borderId="9" xfId="0" applyNumberFormat="1" applyFont="1" applyFill="1" applyBorder="1" applyAlignment="1">
      <alignment horizontal="right" vertical="center"/>
    </xf>
    <xf numFmtId="181" fontId="32" fillId="2" borderId="9" xfId="0" applyNumberFormat="1" applyFont="1" applyFill="1" applyBorder="1" applyAlignment="1">
      <alignment vertical="center"/>
    </xf>
    <xf numFmtId="181" fontId="32" fillId="0" borderId="9" xfId="0" applyNumberFormat="1" applyFont="1" applyBorder="1" applyAlignment="1">
      <alignment vertical="center"/>
    </xf>
    <xf numFmtId="0" fontId="191" fillId="75" borderId="99" xfId="0" applyFont="1" applyFill="1" applyBorder="1" applyAlignment="1">
      <alignment horizontal="center" vertical="center" wrapText="1"/>
    </xf>
    <xf numFmtId="0" fontId="191" fillId="75" borderId="94" xfId="0" applyFont="1" applyFill="1" applyBorder="1" applyAlignment="1">
      <alignment horizontal="center" vertical="center" wrapText="1"/>
    </xf>
    <xf numFmtId="0" fontId="191" fillId="75" borderId="117" xfId="0" applyFont="1" applyFill="1" applyBorder="1" applyAlignment="1">
      <alignment horizontal="center" vertical="center" wrapText="1"/>
    </xf>
    <xf numFmtId="0" fontId="191" fillId="75" borderId="118" xfId="0" applyFont="1" applyFill="1" applyBorder="1" applyAlignment="1">
      <alignment horizontal="center" vertical="center" wrapText="1"/>
    </xf>
    <xf numFmtId="182" fontId="22" fillId="0" borderId="99" xfId="0" applyNumberFormat="1" applyFont="1" applyBorder="1" applyAlignment="1">
      <alignment vertical="center"/>
    </xf>
    <xf numFmtId="182" fontId="22" fillId="0" borderId="94" xfId="0" applyNumberFormat="1" applyFont="1" applyBorder="1" applyAlignment="1">
      <alignment vertical="center"/>
    </xf>
    <xf numFmtId="182" fontId="22" fillId="0" borderId="100" xfId="0" applyNumberFormat="1" applyFont="1" applyBorder="1" applyAlignment="1">
      <alignment vertical="center"/>
    </xf>
    <xf numFmtId="182" fontId="22" fillId="0" borderId="101" xfId="0" applyNumberFormat="1" applyFont="1" applyBorder="1" applyAlignment="1">
      <alignment vertical="center"/>
    </xf>
    <xf numFmtId="182" fontId="11" fillId="0" borderId="99" xfId="0" applyNumberFormat="1" applyFont="1" applyBorder="1" applyAlignment="1">
      <alignment vertical="center"/>
    </xf>
    <xf numFmtId="182" fontId="11" fillId="0" borderId="94" xfId="0" applyNumberFormat="1" applyFont="1" applyBorder="1" applyAlignment="1">
      <alignment vertical="center"/>
    </xf>
    <xf numFmtId="182" fontId="24" fillId="0" borderId="99" xfId="0" applyNumberFormat="1" applyFont="1" applyBorder="1" applyAlignment="1">
      <alignment horizontal="right" vertical="center"/>
    </xf>
    <xf numFmtId="182" fontId="24" fillId="0" borderId="94" xfId="0" applyNumberFormat="1" applyFont="1" applyBorder="1" applyAlignment="1">
      <alignment horizontal="right" vertical="center"/>
    </xf>
    <xf numFmtId="182" fontId="11" fillId="0" borderId="94" xfId="0" applyNumberFormat="1" applyFont="1" applyBorder="1" applyAlignment="1">
      <alignment horizontal="right" vertical="center"/>
    </xf>
    <xf numFmtId="177" fontId="190" fillId="83" borderId="99" xfId="0" applyNumberFormat="1" applyFont="1" applyFill="1" applyBorder="1" applyAlignment="1">
      <alignment vertical="center"/>
    </xf>
    <xf numFmtId="177" fontId="190" fillId="83" borderId="94" xfId="0" applyNumberFormat="1" applyFont="1" applyFill="1" applyBorder="1" applyAlignment="1">
      <alignment vertical="center"/>
    </xf>
    <xf numFmtId="182" fontId="30" fillId="0" borderId="99" xfId="0" applyNumberFormat="1" applyFont="1" applyBorder="1" applyAlignment="1">
      <alignment vertical="center"/>
    </xf>
    <xf numFmtId="182" fontId="30" fillId="0" borderId="94" xfId="0" applyNumberFormat="1" applyFont="1" applyBorder="1" applyAlignment="1">
      <alignment vertical="center"/>
    </xf>
    <xf numFmtId="0" fontId="173" fillId="0" borderId="0" xfId="0" applyFont="1"/>
    <xf numFmtId="167" fontId="173" fillId="0" borderId="0" xfId="0" applyNumberFormat="1" applyFont="1"/>
    <xf numFmtId="182" fontId="22" fillId="0" borderId="119" xfId="0" applyNumberFormat="1" applyFont="1" applyBorder="1" applyAlignment="1">
      <alignment vertical="center"/>
    </xf>
    <xf numFmtId="182" fontId="22" fillId="0" borderId="120" xfId="0" applyNumberFormat="1" applyFont="1" applyBorder="1" applyAlignment="1">
      <alignment vertical="center"/>
    </xf>
    <xf numFmtId="0" fontId="193" fillId="75" borderId="102" xfId="0" applyFont="1" applyFill="1" applyBorder="1" applyAlignment="1">
      <alignment vertical="center" wrapText="1"/>
    </xf>
    <xf numFmtId="0" fontId="193" fillId="75" borderId="121" xfId="0" applyFont="1" applyFill="1" applyBorder="1" applyAlignment="1">
      <alignment vertical="center" wrapText="1"/>
    </xf>
    <xf numFmtId="0" fontId="21" fillId="0" borderId="102" xfId="0" applyFont="1" applyBorder="1" applyAlignment="1">
      <alignment vertical="center" wrapText="1"/>
    </xf>
    <xf numFmtId="0" fontId="21" fillId="0" borderId="103" xfId="0" applyFont="1" applyBorder="1" applyAlignment="1">
      <alignment vertical="center" wrapText="1"/>
    </xf>
    <xf numFmtId="0" fontId="11" fillId="0" borderId="102" xfId="0" applyFont="1" applyBorder="1" applyAlignment="1">
      <alignment vertical="center" wrapText="1"/>
    </xf>
    <xf numFmtId="0" fontId="30" fillId="0" borderId="102" xfId="0" applyFont="1" applyBorder="1" applyAlignment="1">
      <alignment vertical="center" wrapText="1"/>
    </xf>
    <xf numFmtId="0" fontId="190" fillId="83" borderId="102" xfId="0" applyFont="1" applyFill="1" applyBorder="1" applyAlignment="1">
      <alignment vertical="center" wrapText="1"/>
    </xf>
    <xf numFmtId="0" fontId="22" fillId="0" borderId="122" xfId="0" applyFont="1" applyBorder="1" applyAlignment="1">
      <alignment vertical="center" wrapText="1"/>
    </xf>
    <xf numFmtId="183" fontId="11" fillId="0" borderId="99" xfId="0" applyNumberFormat="1" applyFont="1" applyBorder="1" applyAlignment="1">
      <alignment vertical="center"/>
    </xf>
    <xf numFmtId="183" fontId="11" fillId="0" borderId="94" xfId="0" applyNumberFormat="1" applyFont="1" applyBorder="1" applyAlignment="1">
      <alignment vertical="center"/>
    </xf>
    <xf numFmtId="183" fontId="30" fillId="0" borderId="99" xfId="0" applyNumberFormat="1" applyFont="1" applyBorder="1" applyAlignment="1">
      <alignment vertical="center"/>
    </xf>
    <xf numFmtId="183" fontId="30" fillId="0" borderId="94" xfId="0" applyNumberFormat="1" applyFont="1" applyBorder="1" applyAlignment="1">
      <alignment vertical="center"/>
    </xf>
    <xf numFmtId="169" fontId="220" fillId="86" borderId="106" xfId="29659" applyNumberFormat="1" applyFont="1" applyFill="1" applyBorder="1" applyAlignment="1">
      <alignment horizontal="right" vertical="center" wrapText="1"/>
    </xf>
    <xf numFmtId="3" fontId="36" fillId="0" borderId="106" xfId="20233" applyNumberFormat="1" applyFont="1" applyBorder="1" applyAlignment="1">
      <alignment horizontal="right" vertical="center" wrapText="1"/>
    </xf>
    <xf numFmtId="216" fontId="8" fillId="0" borderId="106" xfId="42855" applyNumberFormat="1" applyFont="1" applyFill="1" applyBorder="1" applyAlignment="1">
      <alignment vertical="center"/>
    </xf>
    <xf numFmtId="170" fontId="19" fillId="0" borderId="106" xfId="20233" applyNumberFormat="1" applyFont="1" applyBorder="1" applyAlignment="1">
      <alignment horizontal="right" vertical="center" wrapText="1"/>
    </xf>
    <xf numFmtId="169" fontId="19" fillId="0" borderId="106" xfId="20233" applyNumberFormat="1" applyFont="1" applyBorder="1" applyAlignment="1">
      <alignment horizontal="right" vertical="center" wrapText="1"/>
    </xf>
    <xf numFmtId="2" fontId="19" fillId="0" borderId="106" xfId="20233" applyNumberFormat="1" applyFont="1" applyBorder="1" applyAlignment="1">
      <alignment horizontal="right" vertical="center" wrapText="1"/>
    </xf>
    <xf numFmtId="3" fontId="19" fillId="0" borderId="106" xfId="20233" applyNumberFormat="1" applyFont="1" applyBorder="1" applyAlignment="1">
      <alignment horizontal="right" vertical="center" wrapText="1"/>
    </xf>
    <xf numFmtId="170" fontId="19" fillId="0" borderId="124" xfId="20233" applyNumberFormat="1" applyFont="1" applyBorder="1" applyAlignment="1">
      <alignment horizontal="right" vertical="center" wrapText="1"/>
    </xf>
    <xf numFmtId="3" fontId="19" fillId="0" borderId="123" xfId="20233" applyNumberFormat="1" applyFont="1" applyBorder="1" applyAlignment="1">
      <alignment horizontal="right" vertical="center" wrapText="1"/>
    </xf>
    <xf numFmtId="169" fontId="33" fillId="0" borderId="3" xfId="2" applyNumberFormat="1" applyFont="1" applyFill="1" applyBorder="1" applyAlignment="1">
      <alignment vertical="center" wrapText="1"/>
    </xf>
    <xf numFmtId="181" fontId="191" fillId="87" borderId="9" xfId="0" applyNumberFormat="1" applyFont="1" applyFill="1" applyBorder="1" applyAlignment="1">
      <alignment vertical="center" wrapText="1"/>
    </xf>
    <xf numFmtId="186" fontId="46" fillId="85" borderId="9" xfId="0" applyNumberFormat="1" applyFont="1" applyFill="1" applyBorder="1" applyAlignment="1">
      <alignment vertical="center" wrapText="1"/>
    </xf>
    <xf numFmtId="170" fontId="191" fillId="87" borderId="9" xfId="0" applyNumberFormat="1" applyFont="1" applyFill="1" applyBorder="1" applyAlignment="1">
      <alignment vertical="center" wrapText="1"/>
    </xf>
    <xf numFmtId="182" fontId="46" fillId="85" borderId="9" xfId="0" applyNumberFormat="1" applyFont="1" applyFill="1" applyBorder="1" applyAlignment="1">
      <alignment vertical="center" wrapText="1"/>
    </xf>
    <xf numFmtId="0" fontId="45" fillId="2" borderId="0" xfId="0" applyFont="1" applyFill="1"/>
    <xf numFmtId="170" fontId="46" fillId="85" borderId="9" xfId="0" applyNumberFormat="1" applyFont="1" applyFill="1" applyBorder="1" applyAlignment="1">
      <alignment vertical="center" wrapText="1"/>
    </xf>
    <xf numFmtId="169" fontId="22" fillId="2" borderId="0" xfId="7" applyNumberFormat="1" applyFont="1" applyFill="1" applyAlignment="1">
      <alignment vertical="center"/>
    </xf>
    <xf numFmtId="0" fontId="22" fillId="2" borderId="0" xfId="0" applyFont="1" applyFill="1" applyAlignment="1">
      <alignment horizontal="left" vertical="center" wrapText="1"/>
    </xf>
    <xf numFmtId="0" fontId="22" fillId="2" borderId="0" xfId="0" applyFont="1" applyFill="1" applyAlignment="1">
      <alignment vertical="center"/>
    </xf>
    <xf numFmtId="0" fontId="22" fillId="0" borderId="0" xfId="0" applyFont="1" applyAlignment="1">
      <alignment vertical="center"/>
    </xf>
    <xf numFmtId="0" fontId="171" fillId="2" borderId="0" xfId="0" applyFont="1" applyFill="1"/>
    <xf numFmtId="169" fontId="33" fillId="2" borderId="0" xfId="7" applyNumberFormat="1" applyFont="1" applyFill="1" applyAlignment="1">
      <alignment vertical="center"/>
    </xf>
    <xf numFmtId="0" fontId="33" fillId="2" borderId="0" xfId="0" applyFont="1" applyFill="1" applyAlignment="1">
      <alignment horizontal="left" vertical="center" wrapText="1"/>
    </xf>
    <xf numFmtId="0" fontId="33" fillId="2" borderId="0" xfId="0" applyFont="1" applyFill="1" applyAlignment="1">
      <alignment vertical="center"/>
    </xf>
    <xf numFmtId="0" fontId="33" fillId="2" borderId="0" xfId="0" applyFont="1" applyFill="1"/>
    <xf numFmtId="0" fontId="33" fillId="0" borderId="0" xfId="0" applyFont="1" applyAlignment="1">
      <alignment vertical="center"/>
    </xf>
    <xf numFmtId="0" fontId="191" fillId="88" borderId="80" xfId="0" applyFont="1" applyFill="1" applyBorder="1" applyAlignment="1">
      <alignment horizontal="right" vertical="center"/>
    </xf>
    <xf numFmtId="170" fontId="33" fillId="85" borderId="9" xfId="0" applyNumberFormat="1" applyFont="1" applyFill="1" applyBorder="1" applyAlignment="1">
      <alignment vertical="center" wrapText="1"/>
    </xf>
    <xf numFmtId="182" fontId="33" fillId="85" borderId="9" xfId="0" applyNumberFormat="1" applyFont="1" applyFill="1" applyBorder="1" applyAlignment="1">
      <alignment vertical="center" wrapText="1"/>
    </xf>
    <xf numFmtId="0" fontId="11" fillId="0" borderId="3" xfId="0" applyFont="1" applyBorder="1" applyAlignment="1">
      <alignment horizontal="left" vertical="center"/>
    </xf>
    <xf numFmtId="0" fontId="28" fillId="0" borderId="53" xfId="0" applyFont="1" applyBorder="1" applyAlignment="1">
      <alignment horizontal="left" vertical="center" wrapText="1"/>
    </xf>
    <xf numFmtId="170" fontId="48" fillId="2" borderId="53" xfId="0" applyNumberFormat="1" applyFont="1" applyFill="1" applyBorder="1" applyAlignment="1">
      <alignment horizontal="right" vertical="center" wrapText="1"/>
    </xf>
    <xf numFmtId="3" fontId="48" fillId="2" borderId="53" xfId="0" applyNumberFormat="1" applyFont="1" applyFill="1" applyBorder="1" applyAlignment="1">
      <alignment horizontal="right" vertical="center" wrapText="1"/>
    </xf>
    <xf numFmtId="3" fontId="48" fillId="0" borderId="53" xfId="0" applyNumberFormat="1" applyFont="1" applyBorder="1" applyAlignment="1">
      <alignment horizontal="right" vertical="center" wrapText="1"/>
    </xf>
    <xf numFmtId="3" fontId="19" fillId="0" borderId="53" xfId="0" applyNumberFormat="1" applyFont="1" applyBorder="1" applyAlignment="1">
      <alignment horizontal="right" vertical="center" wrapText="1"/>
    </xf>
    <xf numFmtId="3" fontId="29" fillId="0" borderId="53" xfId="0" applyNumberFormat="1" applyFont="1" applyBorder="1" applyAlignment="1">
      <alignment horizontal="right" vertical="center" wrapText="1"/>
    </xf>
    <xf numFmtId="170" fontId="48" fillId="2" borderId="125" xfId="0" applyNumberFormat="1" applyFont="1" applyFill="1" applyBorder="1" applyAlignment="1">
      <alignment horizontal="right" vertical="center" wrapText="1"/>
    </xf>
    <xf numFmtId="3" fontId="48" fillId="2" borderId="125" xfId="0" applyNumberFormat="1" applyFont="1" applyFill="1" applyBorder="1" applyAlignment="1">
      <alignment horizontal="right" vertical="center" wrapText="1"/>
    </xf>
    <xf numFmtId="170" fontId="50" fillId="85" borderId="126" xfId="0" applyNumberFormat="1" applyFont="1" applyFill="1" applyBorder="1" applyAlignment="1">
      <alignment vertical="center" wrapText="1"/>
    </xf>
    <xf numFmtId="3" fontId="50" fillId="85" borderId="126" xfId="0" applyNumberFormat="1" applyFont="1" applyFill="1" applyBorder="1" applyAlignment="1">
      <alignment vertical="center" wrapText="1"/>
    </xf>
    <xf numFmtId="0" fontId="226" fillId="0" borderId="0" xfId="0" applyFont="1"/>
    <xf numFmtId="170" fontId="8" fillId="0" borderId="0" xfId="26619" applyNumberFormat="1" applyFont="1" applyFill="1" applyBorder="1" applyAlignment="1">
      <alignment vertical="center"/>
    </xf>
    <xf numFmtId="169" fontId="8" fillId="0" borderId="0" xfId="7" applyNumberFormat="1" applyFont="1" applyFill="1" applyBorder="1" applyAlignment="1">
      <alignment vertical="center"/>
    </xf>
    <xf numFmtId="180" fontId="47" fillId="0" borderId="0" xfId="0" applyNumberFormat="1" applyFont="1" applyAlignment="1">
      <alignment horizontal="right" vertical="center"/>
    </xf>
    <xf numFmtId="171" fontId="11" fillId="2" borderId="0" xfId="0" applyNumberFormat="1" applyFont="1" applyFill="1" applyAlignment="1">
      <alignment horizontal="right" vertical="center"/>
    </xf>
    <xf numFmtId="171" fontId="42" fillId="2" borderId="0" xfId="0" applyNumberFormat="1" applyFont="1" applyFill="1" applyAlignment="1">
      <alignment horizontal="right" vertical="center"/>
    </xf>
    <xf numFmtId="171" fontId="11" fillId="0" borderId="0" xfId="0" applyNumberFormat="1" applyFont="1"/>
    <xf numFmtId="215" fontId="209" fillId="78" borderId="0" xfId="0" applyNumberFormat="1" applyFont="1" applyFill="1"/>
    <xf numFmtId="0" fontId="191" fillId="83" borderId="128" xfId="0" applyFont="1" applyFill="1" applyBorder="1" applyAlignment="1">
      <alignment vertical="center" wrapText="1"/>
    </xf>
    <xf numFmtId="0" fontId="191" fillId="83" borderId="127" xfId="0" applyFont="1" applyFill="1" applyBorder="1" applyAlignment="1">
      <alignment vertical="center" wrapText="1"/>
    </xf>
    <xf numFmtId="171" fontId="191" fillId="83" borderId="129" xfId="0" applyNumberFormat="1" applyFont="1" applyFill="1" applyBorder="1" applyAlignment="1">
      <alignment vertical="center"/>
    </xf>
    <xf numFmtId="170" fontId="191" fillId="84" borderId="130" xfId="0" applyNumberFormat="1" applyFont="1" applyFill="1" applyBorder="1" applyAlignment="1">
      <alignment vertical="center" wrapText="1"/>
    </xf>
    <xf numFmtId="171" fontId="191" fillId="83" borderId="128" xfId="0" applyNumberFormat="1" applyFont="1" applyFill="1" applyBorder="1" applyAlignment="1">
      <alignment vertical="center"/>
    </xf>
    <xf numFmtId="171" fontId="193" fillId="83" borderId="129" xfId="0" applyNumberFormat="1" applyFont="1" applyFill="1" applyBorder="1" applyAlignment="1">
      <alignment vertical="center"/>
    </xf>
    <xf numFmtId="182" fontId="191" fillId="83" borderId="129" xfId="0" applyNumberFormat="1" applyFont="1" applyFill="1" applyBorder="1" applyAlignment="1">
      <alignment vertical="center"/>
    </xf>
    <xf numFmtId="171" fontId="209" fillId="0" borderId="129" xfId="0" applyNumberFormat="1" applyFont="1" applyBorder="1"/>
    <xf numFmtId="170" fontId="191" fillId="87" borderId="130" xfId="0" applyNumberFormat="1" applyFont="1" applyFill="1" applyBorder="1" applyAlignment="1">
      <alignment vertical="center" wrapText="1"/>
    </xf>
    <xf numFmtId="215" fontId="191" fillId="83" borderId="128" xfId="0" applyNumberFormat="1" applyFont="1" applyFill="1" applyBorder="1" applyAlignment="1">
      <alignment vertical="center" wrapText="1"/>
    </xf>
    <xf numFmtId="215" fontId="191" fillId="83" borderId="127" xfId="0" applyNumberFormat="1" applyFont="1" applyFill="1" applyBorder="1" applyAlignment="1">
      <alignment vertical="center" wrapText="1"/>
    </xf>
    <xf numFmtId="215" fontId="191" fillId="83" borderId="129" xfId="0" applyNumberFormat="1" applyFont="1" applyFill="1" applyBorder="1" applyAlignment="1">
      <alignment vertical="center"/>
    </xf>
    <xf numFmtId="215" fontId="191" fillId="84" borderId="130" xfId="0" applyNumberFormat="1" applyFont="1" applyFill="1" applyBorder="1" applyAlignment="1">
      <alignment vertical="center" wrapText="1"/>
    </xf>
    <xf numFmtId="215" fontId="191" fillId="83" borderId="128" xfId="0" applyNumberFormat="1" applyFont="1" applyFill="1" applyBorder="1" applyAlignment="1">
      <alignment vertical="center"/>
    </xf>
    <xf numFmtId="215" fontId="193" fillId="83" borderId="129" xfId="0" applyNumberFormat="1" applyFont="1" applyFill="1" applyBorder="1" applyAlignment="1">
      <alignment vertical="center"/>
    </xf>
    <xf numFmtId="215" fontId="209" fillId="0" borderId="129" xfId="0" applyNumberFormat="1" applyFont="1" applyBorder="1"/>
    <xf numFmtId="215" fontId="191" fillId="87" borderId="130" xfId="0" applyNumberFormat="1" applyFont="1" applyFill="1" applyBorder="1" applyAlignment="1">
      <alignment vertical="center" wrapText="1"/>
    </xf>
    <xf numFmtId="181" fontId="191" fillId="83" borderId="3" xfId="0" applyNumberFormat="1" applyFont="1" applyFill="1" applyBorder="1" applyAlignment="1">
      <alignment vertical="center"/>
    </xf>
    <xf numFmtId="181" fontId="191" fillId="83" borderId="0" xfId="0" applyNumberFormat="1" applyFont="1" applyFill="1" applyAlignment="1">
      <alignment vertical="center"/>
    </xf>
    <xf numFmtId="182" fontId="176" fillId="80" borderId="0" xfId="0" applyNumberFormat="1" applyFont="1" applyFill="1" applyAlignment="1">
      <alignment vertical="center" wrapText="1"/>
    </xf>
    <xf numFmtId="170" fontId="11" fillId="0" borderId="0" xfId="0" applyNumberFormat="1" applyFont="1"/>
    <xf numFmtId="182" fontId="22" fillId="0" borderId="131" xfId="0" applyNumberFormat="1" applyFont="1" applyBorder="1" applyAlignment="1">
      <alignment vertical="center"/>
    </xf>
    <xf numFmtId="182" fontId="46" fillId="0" borderId="66" xfId="0" applyNumberFormat="1" applyFont="1" applyBorder="1" applyAlignment="1">
      <alignment vertical="center"/>
    </xf>
    <xf numFmtId="181" fontId="30" fillId="2" borderId="0" xfId="0" applyNumberFormat="1" applyFont="1" applyFill="1" applyAlignment="1">
      <alignment vertical="center"/>
    </xf>
    <xf numFmtId="181" fontId="227" fillId="0" borderId="0" xfId="0" applyNumberFormat="1" applyFont="1" applyAlignment="1">
      <alignment vertical="center"/>
    </xf>
    <xf numFmtId="177" fontId="171" fillId="0" borderId="66" xfId="0" applyNumberFormat="1" applyFont="1" applyBorder="1" applyAlignment="1">
      <alignment vertical="center"/>
    </xf>
    <xf numFmtId="181" fontId="227" fillId="2" borderId="0" xfId="0" applyNumberFormat="1" applyFont="1" applyFill="1" applyAlignment="1">
      <alignment vertical="center"/>
    </xf>
    <xf numFmtId="181" fontId="30" fillId="0" borderId="0" xfId="0" applyNumberFormat="1" applyFont="1" applyAlignment="1">
      <alignment vertical="center"/>
    </xf>
    <xf numFmtId="181" fontId="227" fillId="0" borderId="0" xfId="0" applyNumberFormat="1" applyFont="1" applyAlignment="1">
      <alignment horizontal="right" vertical="center"/>
    </xf>
    <xf numFmtId="181" fontId="34" fillId="0" borderId="0" xfId="0" applyNumberFormat="1" applyFont="1" applyAlignment="1">
      <alignment horizontal="right" vertical="center"/>
    </xf>
    <xf numFmtId="184" fontId="49" fillId="2" borderId="0" xfId="0" applyNumberFormat="1" applyFont="1" applyFill="1" applyAlignment="1">
      <alignment vertical="center"/>
    </xf>
    <xf numFmtId="170" fontId="179" fillId="2" borderId="66" xfId="0" applyNumberFormat="1" applyFont="1" applyFill="1" applyBorder="1" applyAlignment="1">
      <alignment vertical="center"/>
    </xf>
    <xf numFmtId="170" fontId="30" fillId="80" borderId="0" xfId="0" applyNumberFormat="1" applyFont="1" applyFill="1" applyAlignment="1">
      <alignment vertical="center" wrapText="1"/>
    </xf>
    <xf numFmtId="182" fontId="30" fillId="80" borderId="0" xfId="0" applyNumberFormat="1" applyFont="1" applyFill="1" applyAlignment="1">
      <alignment vertical="center" wrapText="1"/>
    </xf>
    <xf numFmtId="182" fontId="33" fillId="80" borderId="0" xfId="0" applyNumberFormat="1" applyFont="1" applyFill="1" applyAlignment="1">
      <alignment vertical="center" wrapText="1"/>
    </xf>
    <xf numFmtId="171" fontId="30" fillId="0" borderId="0" xfId="0" applyNumberFormat="1" applyFont="1" applyAlignment="1">
      <alignment horizontal="right" vertical="center"/>
    </xf>
    <xf numFmtId="186" fontId="203" fillId="2" borderId="0" xfId="0" applyNumberFormat="1" applyFont="1" applyFill="1" applyAlignment="1">
      <alignment horizontal="right" vertical="center"/>
    </xf>
    <xf numFmtId="182" fontId="33" fillId="0" borderId="0" xfId="0" applyNumberFormat="1" applyFont="1" applyAlignment="1">
      <alignment vertical="center"/>
    </xf>
    <xf numFmtId="182" fontId="33" fillId="0" borderId="66" xfId="0" applyNumberFormat="1" applyFont="1" applyBorder="1" applyAlignment="1">
      <alignment vertical="center"/>
    </xf>
    <xf numFmtId="0" fontId="228" fillId="0" borderId="0" xfId="0" applyFont="1" applyAlignment="1">
      <alignment horizontal="right" vertical="center"/>
    </xf>
    <xf numFmtId="170" fontId="228" fillId="0" borderId="0" xfId="0" applyNumberFormat="1" applyFont="1" applyAlignment="1">
      <alignment horizontal="right" vertical="center"/>
    </xf>
    <xf numFmtId="0" fontId="230" fillId="0" borderId="0" xfId="0" applyFont="1" applyAlignment="1">
      <alignment horizontal="right" vertical="center"/>
    </xf>
    <xf numFmtId="170" fontId="230" fillId="0" borderId="0" xfId="0" applyNumberFormat="1" applyFont="1"/>
    <xf numFmtId="170" fontId="219" fillId="0" borderId="132" xfId="0" applyNumberFormat="1" applyFont="1" applyBorder="1" applyAlignment="1">
      <alignment horizontal="right" vertical="center"/>
    </xf>
    <xf numFmtId="186" fontId="203" fillId="0" borderId="0" xfId="0" applyNumberFormat="1" applyFont="1" applyAlignment="1">
      <alignment horizontal="right" vertical="center"/>
    </xf>
    <xf numFmtId="0" fontId="229" fillId="0" borderId="0" xfId="0" applyFont="1" applyAlignment="1">
      <alignment horizontal="right" vertical="center"/>
    </xf>
    <xf numFmtId="0" fontId="232" fillId="0" borderId="0" xfId="0" applyFont="1" applyAlignment="1">
      <alignment vertical="top"/>
    </xf>
    <xf numFmtId="167" fontId="173" fillId="0" borderId="0" xfId="0" applyNumberFormat="1" applyFont="1" applyAlignment="1">
      <alignment vertical="center"/>
    </xf>
    <xf numFmtId="0" fontId="231" fillId="0" borderId="0" xfId="20233" applyFont="1" applyAlignment="1">
      <alignment vertical="center"/>
    </xf>
    <xf numFmtId="182" fontId="227" fillId="0" borderId="9" xfId="0" applyNumberFormat="1" applyFont="1" applyBorder="1" applyAlignment="1">
      <alignment vertical="center"/>
    </xf>
    <xf numFmtId="177" fontId="171" fillId="0" borderId="67" xfId="0" applyNumberFormat="1" applyFont="1" applyBorder="1" applyAlignment="1">
      <alignment vertical="center"/>
    </xf>
    <xf numFmtId="182" fontId="30" fillId="0" borderId="9" xfId="0" applyNumberFormat="1" applyFont="1" applyBorder="1" applyAlignment="1">
      <alignment vertical="center"/>
    </xf>
    <xf numFmtId="181" fontId="30" fillId="0" borderId="9" xfId="0" applyNumberFormat="1" applyFont="1" applyBorder="1" applyAlignment="1">
      <alignment vertical="center"/>
    </xf>
    <xf numFmtId="173" fontId="30" fillId="2" borderId="9" xfId="0" applyNumberFormat="1" applyFont="1" applyFill="1" applyBorder="1" applyAlignment="1">
      <alignment horizontal="right" vertical="center"/>
    </xf>
    <xf numFmtId="181" fontId="227" fillId="2" borderId="9" xfId="0" applyNumberFormat="1" applyFont="1" applyFill="1" applyBorder="1" applyAlignment="1">
      <alignment vertical="center"/>
    </xf>
    <xf numFmtId="182" fontId="33" fillId="0" borderId="101" xfId="0" applyNumberFormat="1" applyFont="1" applyBorder="1" applyAlignment="1">
      <alignment vertical="center"/>
    </xf>
    <xf numFmtId="217" fontId="30" fillId="0" borderId="9" xfId="0" applyNumberFormat="1" applyFont="1" applyBorder="1" applyAlignment="1">
      <alignment horizontal="right" vertical="center"/>
    </xf>
    <xf numFmtId="172" fontId="11" fillId="0" borderId="0" xfId="0" applyNumberFormat="1" applyFont="1" applyAlignment="1">
      <alignment vertical="center"/>
    </xf>
    <xf numFmtId="173" fontId="30" fillId="0" borderId="9" xfId="0" applyNumberFormat="1" applyFont="1" applyBorder="1" applyAlignment="1">
      <alignment horizontal="right" vertical="center"/>
    </xf>
    <xf numFmtId="0" fontId="233" fillId="0" borderId="3" xfId="0" applyFont="1" applyBorder="1" applyAlignment="1">
      <alignment horizontal="left" vertical="center" wrapText="1" indent="2"/>
    </xf>
    <xf numFmtId="173" fontId="32" fillId="0" borderId="9" xfId="0" applyNumberFormat="1" applyFont="1" applyBorder="1" applyAlignment="1">
      <alignment horizontal="right" vertical="center"/>
    </xf>
    <xf numFmtId="181" fontId="227" fillId="0" borderId="9" xfId="0" applyNumberFormat="1" applyFont="1" applyBorder="1" applyAlignment="1">
      <alignment vertical="center"/>
    </xf>
    <xf numFmtId="170" fontId="228" fillId="0" borderId="0" xfId="1" applyNumberFormat="1" applyFont="1" applyFill="1" applyAlignment="1">
      <alignment horizontal="right" vertical="center"/>
    </xf>
    <xf numFmtId="181" fontId="30" fillId="0" borderId="0" xfId="1" applyNumberFormat="1" applyFont="1" applyFill="1" applyBorder="1" applyAlignment="1">
      <alignment horizontal="right" vertical="center"/>
    </xf>
    <xf numFmtId="181" fontId="30" fillId="0" borderId="0" xfId="8" applyNumberFormat="1" applyFont="1" applyFill="1" applyBorder="1" applyAlignment="1">
      <alignment horizontal="right" vertical="center"/>
    </xf>
    <xf numFmtId="218" fontId="11" fillId="0" borderId="0" xfId="1" applyNumberFormat="1" applyFont="1" applyFill="1" applyAlignment="1">
      <alignment vertical="center"/>
    </xf>
    <xf numFmtId="218" fontId="30" fillId="0" borderId="0" xfId="1" applyNumberFormat="1" applyFont="1" applyFill="1" applyAlignment="1">
      <alignment vertical="center"/>
    </xf>
    <xf numFmtId="170" fontId="171" fillId="85" borderId="9" xfId="0" applyNumberFormat="1" applyFont="1" applyFill="1" applyBorder="1" applyAlignment="1">
      <alignment vertical="center" wrapText="1"/>
    </xf>
    <xf numFmtId="0" fontId="11" fillId="0" borderId="134" xfId="0" applyFont="1" applyBorder="1" applyAlignment="1">
      <alignment horizontal="left" vertical="center" wrapText="1"/>
    </xf>
    <xf numFmtId="185" fontId="173" fillId="2" borderId="133" xfId="0" applyNumberFormat="1" applyFont="1" applyFill="1" applyBorder="1" applyAlignment="1">
      <alignment vertical="center" wrapText="1"/>
    </xf>
    <xf numFmtId="177" fontId="11" fillId="0" borderId="135" xfId="0" applyNumberFormat="1" applyFont="1" applyBorder="1" applyAlignment="1">
      <alignment horizontal="right" vertical="center"/>
    </xf>
    <xf numFmtId="182" fontId="176" fillId="80" borderId="136" xfId="0" applyNumberFormat="1" applyFont="1" applyFill="1" applyBorder="1" applyAlignment="1">
      <alignment vertical="center" wrapText="1"/>
    </xf>
    <xf numFmtId="177" fontId="11" fillId="0" borderId="134" xfId="0" applyNumberFormat="1" applyFont="1" applyBorder="1" applyAlignment="1">
      <alignment horizontal="right" vertical="center"/>
    </xf>
    <xf numFmtId="176" fontId="47" fillId="0" borderId="135" xfId="0" applyNumberFormat="1" applyFont="1" applyBorder="1" applyAlignment="1">
      <alignment horizontal="right" vertical="center"/>
    </xf>
    <xf numFmtId="177" fontId="11" fillId="2" borderId="135" xfId="0" applyNumberFormat="1" applyFont="1" applyFill="1" applyBorder="1" applyAlignment="1">
      <alignment horizontal="right" vertical="center"/>
    </xf>
    <xf numFmtId="177" fontId="42" fillId="2" borderId="135" xfId="0" applyNumberFormat="1" applyFont="1" applyFill="1" applyBorder="1" applyAlignment="1">
      <alignment horizontal="right" vertical="center"/>
    </xf>
    <xf numFmtId="185" fontId="11" fillId="0" borderId="135" xfId="0" applyNumberFormat="1" applyFont="1" applyBorder="1"/>
    <xf numFmtId="177" fontId="11" fillId="2" borderId="134" xfId="0" applyNumberFormat="1" applyFont="1" applyFill="1" applyBorder="1" applyAlignment="1">
      <alignment horizontal="right" vertical="center"/>
    </xf>
    <xf numFmtId="182" fontId="33" fillId="85" borderId="136" xfId="0" applyNumberFormat="1" applyFont="1" applyFill="1" applyBorder="1" applyAlignment="1">
      <alignment vertical="center" wrapText="1"/>
    </xf>
    <xf numFmtId="182" fontId="46" fillId="85" borderId="136" xfId="0" applyNumberFormat="1" applyFont="1" applyFill="1" applyBorder="1" applyAlignment="1">
      <alignment vertical="center" wrapText="1"/>
    </xf>
    <xf numFmtId="185" fontId="42" fillId="2" borderId="0" xfId="0" applyNumberFormat="1" applyFont="1" applyFill="1" applyAlignment="1">
      <alignment vertical="center"/>
    </xf>
    <xf numFmtId="169" fontId="191" fillId="83" borderId="3" xfId="0" applyNumberFormat="1" applyFont="1" applyFill="1" applyBorder="1" applyAlignment="1">
      <alignment vertical="center" wrapText="1"/>
    </xf>
    <xf numFmtId="169" fontId="191" fillId="83" borderId="16" xfId="0" applyNumberFormat="1" applyFont="1" applyFill="1" applyBorder="1" applyAlignment="1">
      <alignment vertical="center" wrapText="1"/>
    </xf>
    <xf numFmtId="169" fontId="191" fillId="83" borderId="0" xfId="0" applyNumberFormat="1" applyFont="1" applyFill="1" applyAlignment="1">
      <alignment vertical="center"/>
    </xf>
    <xf numFmtId="169" fontId="191" fillId="84" borderId="9" xfId="0" applyNumberFormat="1" applyFont="1" applyFill="1" applyBorder="1" applyAlignment="1">
      <alignment vertical="center" wrapText="1"/>
    </xf>
    <xf numFmtId="169" fontId="191" fillId="83" borderId="3" xfId="0" applyNumberFormat="1" applyFont="1" applyFill="1" applyBorder="1" applyAlignment="1">
      <alignment vertical="center"/>
    </xf>
    <xf numFmtId="169" fontId="193" fillId="83" borderId="0" xfId="0" applyNumberFormat="1" applyFont="1" applyFill="1" applyAlignment="1">
      <alignment vertical="center"/>
    </xf>
    <xf numFmtId="169" fontId="191" fillId="87" borderId="9" xfId="0" applyNumberFormat="1" applyFont="1" applyFill="1" applyBorder="1" applyAlignment="1">
      <alignment vertical="center" wrapText="1"/>
    </xf>
    <xf numFmtId="169" fontId="191" fillId="83" borderId="0" xfId="7" applyNumberFormat="1" applyFont="1" applyFill="1" applyBorder="1" applyAlignment="1">
      <alignment vertical="center"/>
    </xf>
    <xf numFmtId="169" fontId="191" fillId="87" borderId="9" xfId="7" applyNumberFormat="1" applyFont="1" applyFill="1" applyBorder="1" applyAlignment="1">
      <alignment vertical="center" wrapText="1"/>
    </xf>
    <xf numFmtId="170" fontId="191" fillId="87" borderId="129" xfId="0" applyNumberFormat="1" applyFont="1" applyFill="1" applyBorder="1" applyAlignment="1">
      <alignment vertical="center" wrapText="1"/>
    </xf>
    <xf numFmtId="182" fontId="46" fillId="85" borderId="0" xfId="0" applyNumberFormat="1" applyFont="1" applyFill="1" applyAlignment="1">
      <alignment vertical="center" wrapText="1"/>
    </xf>
    <xf numFmtId="215" fontId="191" fillId="87" borderId="129" xfId="0" applyNumberFormat="1" applyFont="1" applyFill="1" applyBorder="1" applyAlignment="1">
      <alignment vertical="center" wrapText="1"/>
    </xf>
    <xf numFmtId="182" fontId="33" fillId="85" borderId="0" xfId="0" applyNumberFormat="1" applyFont="1" applyFill="1" applyAlignment="1">
      <alignment vertical="center" wrapText="1"/>
    </xf>
    <xf numFmtId="181" fontId="191" fillId="87" borderId="0" xfId="0" applyNumberFormat="1" applyFont="1" applyFill="1" applyAlignment="1">
      <alignment vertical="center" wrapText="1"/>
    </xf>
    <xf numFmtId="170" fontId="191" fillId="87" borderId="0" xfId="0" applyNumberFormat="1" applyFont="1" applyFill="1" applyAlignment="1">
      <alignment vertical="center" wrapText="1"/>
    </xf>
    <xf numFmtId="186" fontId="33" fillId="85" borderId="0" xfId="0" applyNumberFormat="1" applyFont="1" applyFill="1" applyAlignment="1">
      <alignment vertical="center" wrapText="1"/>
    </xf>
    <xf numFmtId="169" fontId="191" fillId="87" borderId="0" xfId="0" applyNumberFormat="1" applyFont="1" applyFill="1" applyAlignment="1">
      <alignment vertical="center" wrapText="1"/>
    </xf>
    <xf numFmtId="169" fontId="191" fillId="87" borderId="0" xfId="7" applyNumberFormat="1" applyFont="1" applyFill="1" applyBorder="1" applyAlignment="1">
      <alignment vertical="center" wrapText="1"/>
    </xf>
    <xf numFmtId="0" fontId="191" fillId="75" borderId="138" xfId="0" applyFont="1" applyFill="1" applyBorder="1" applyAlignment="1">
      <alignment horizontal="right" vertical="center"/>
    </xf>
    <xf numFmtId="171" fontId="191" fillId="83" borderId="140" xfId="0" applyNumberFormat="1" applyFont="1" applyFill="1" applyBorder="1" applyAlignment="1">
      <alignment vertical="center"/>
    </xf>
    <xf numFmtId="171" fontId="42" fillId="2" borderId="142" xfId="0" applyNumberFormat="1" applyFont="1" applyFill="1" applyBorder="1" applyAlignment="1">
      <alignment horizontal="right" vertical="center"/>
    </xf>
    <xf numFmtId="215" fontId="191" fillId="83" borderId="140" xfId="0" applyNumberFormat="1" applyFont="1" applyFill="1" applyBorder="1" applyAlignment="1">
      <alignment vertical="center"/>
    </xf>
    <xf numFmtId="177" fontId="11" fillId="2" borderId="142" xfId="0" applyNumberFormat="1" applyFont="1" applyFill="1" applyBorder="1" applyAlignment="1">
      <alignment horizontal="right" vertical="center"/>
    </xf>
    <xf numFmtId="181" fontId="191" fillId="83" borderId="142" xfId="0" applyNumberFormat="1" applyFont="1" applyFill="1" applyBorder="1" applyAlignment="1">
      <alignment vertical="center"/>
    </xf>
    <xf numFmtId="214" fontId="191" fillId="83" borderId="142" xfId="0" applyNumberFormat="1" applyFont="1" applyFill="1" applyBorder="1" applyAlignment="1">
      <alignment vertical="center"/>
    </xf>
    <xf numFmtId="182" fontId="42" fillId="2" borderId="142" xfId="0" applyNumberFormat="1" applyFont="1" applyFill="1" applyBorder="1" applyAlignment="1">
      <alignment horizontal="right" vertical="center"/>
    </xf>
    <xf numFmtId="171" fontId="191" fillId="83" borderId="142" xfId="0" applyNumberFormat="1" applyFont="1" applyFill="1" applyBorder="1" applyAlignment="1">
      <alignment vertical="center"/>
    </xf>
    <xf numFmtId="177" fontId="42" fillId="2" borderId="142" xfId="0" applyNumberFormat="1" applyFont="1" applyFill="1" applyBorder="1" applyAlignment="1">
      <alignment horizontal="right" vertical="center"/>
    </xf>
    <xf numFmtId="169" fontId="191" fillId="83" borderId="142" xfId="0" applyNumberFormat="1" applyFont="1" applyFill="1" applyBorder="1" applyAlignment="1">
      <alignment vertical="center"/>
    </xf>
    <xf numFmtId="169" fontId="191" fillId="83" borderId="142" xfId="7" applyNumberFormat="1" applyFont="1" applyFill="1" applyBorder="1" applyAlignment="1">
      <alignment vertical="center"/>
    </xf>
    <xf numFmtId="219" fontId="30" fillId="78" borderId="0" xfId="0" applyNumberFormat="1" applyFont="1" applyFill="1"/>
    <xf numFmtId="169" fontId="30" fillId="78" borderId="0" xfId="7" applyNumberFormat="1" applyFont="1" applyFill="1"/>
    <xf numFmtId="170" fontId="11" fillId="2" borderId="0" xfId="0" applyNumberFormat="1" applyFont="1" applyFill="1"/>
    <xf numFmtId="169" fontId="11" fillId="2" borderId="0" xfId="7" applyNumberFormat="1" applyFont="1" applyFill="1"/>
    <xf numFmtId="167" fontId="11" fillId="2" borderId="0" xfId="0" applyNumberFormat="1" applyFont="1" applyFill="1"/>
    <xf numFmtId="0" fontId="3" fillId="0" borderId="0" xfId="0" applyFont="1"/>
    <xf numFmtId="4" fontId="234" fillId="0" borderId="0" xfId="20233" applyNumberFormat="1" applyFont="1" applyAlignment="1">
      <alignment vertical="center"/>
    </xf>
    <xf numFmtId="186" fontId="25" fillId="2" borderId="142" xfId="0" applyNumberFormat="1" applyFont="1" applyFill="1" applyBorder="1" applyAlignment="1">
      <alignment horizontal="right" vertical="center"/>
    </xf>
    <xf numFmtId="0" fontId="219" fillId="0" borderId="132" xfId="0" applyFont="1" applyBorder="1" applyAlignment="1">
      <alignment horizontal="right" vertical="center"/>
    </xf>
    <xf numFmtId="184" fontId="49" fillId="0" borderId="0" xfId="0" applyNumberFormat="1" applyFont="1" applyAlignment="1">
      <alignment vertical="center"/>
    </xf>
    <xf numFmtId="170" fontId="171" fillId="80" borderId="101" xfId="0" applyNumberFormat="1" applyFont="1" applyFill="1" applyBorder="1" applyAlignment="1">
      <alignment vertical="center" wrapText="1"/>
    </xf>
    <xf numFmtId="171" fontId="42" fillId="2" borderId="144" xfId="0" applyNumberFormat="1" applyFont="1" applyFill="1" applyBorder="1" applyAlignment="1">
      <alignment horizontal="right" vertical="center"/>
    </xf>
    <xf numFmtId="171" fontId="42" fillId="2" borderId="145" xfId="0" applyNumberFormat="1" applyFont="1" applyFill="1" applyBorder="1" applyAlignment="1">
      <alignment horizontal="right" vertical="center"/>
    </xf>
    <xf numFmtId="171" fontId="42" fillId="2" borderId="146" xfId="0" applyNumberFormat="1" applyFont="1" applyFill="1" applyBorder="1" applyAlignment="1">
      <alignment horizontal="right" vertical="center"/>
    </xf>
    <xf numFmtId="171" fontId="42" fillId="2" borderId="73" xfId="0" applyNumberFormat="1" applyFont="1" applyFill="1" applyBorder="1" applyAlignment="1">
      <alignment horizontal="right" vertical="center"/>
    </xf>
    <xf numFmtId="0" fontId="193" fillId="75" borderId="0" xfId="0" applyFont="1" applyFill="1" applyAlignment="1">
      <alignment horizontal="right" vertical="center" wrapText="1"/>
    </xf>
    <xf numFmtId="167" fontId="228" fillId="0" borderId="0" xfId="0" applyNumberFormat="1" applyFont="1" applyAlignment="1">
      <alignment horizontal="right" vertical="center"/>
    </xf>
    <xf numFmtId="170" fontId="229" fillId="0" borderId="0" xfId="0" applyNumberFormat="1" applyFont="1" applyAlignment="1">
      <alignment horizontal="right" vertical="center"/>
    </xf>
    <xf numFmtId="0" fontId="228" fillId="0" borderId="71" xfId="0" applyFont="1" applyBorder="1" applyAlignment="1">
      <alignment horizontal="right" vertical="center"/>
    </xf>
    <xf numFmtId="181" fontId="11" fillId="0" borderId="3" xfId="0" applyNumberFormat="1" applyFont="1" applyBorder="1" applyAlignment="1">
      <alignment vertical="center"/>
    </xf>
    <xf numFmtId="181" fontId="32" fillId="0" borderId="3" xfId="0" applyNumberFormat="1" applyFont="1" applyBorder="1" applyAlignment="1">
      <alignment vertical="center"/>
    </xf>
    <xf numFmtId="170" fontId="186" fillId="0" borderId="0" xfId="0" applyNumberFormat="1" applyFont="1"/>
    <xf numFmtId="181" fontId="11" fillId="2" borderId="142" xfId="0" applyNumberFormat="1" applyFont="1" applyFill="1" applyBorder="1" applyAlignment="1">
      <alignment horizontal="right" vertical="center"/>
    </xf>
    <xf numFmtId="170" fontId="220" fillId="86" borderId="0" xfId="29659" applyNumberFormat="1" applyFont="1" applyFill="1" applyBorder="1" applyAlignment="1">
      <alignment horizontal="right" vertical="center" wrapText="1"/>
    </xf>
    <xf numFmtId="4" fontId="19" fillId="0" borderId="0" xfId="20233" applyNumberFormat="1" applyFont="1" applyAlignment="1">
      <alignment horizontal="right" vertical="center" wrapText="1"/>
    </xf>
    <xf numFmtId="169" fontId="19" fillId="0" borderId="0" xfId="7" applyNumberFormat="1" applyFont="1" applyAlignment="1">
      <alignment horizontal="right" vertical="center" wrapText="1"/>
    </xf>
    <xf numFmtId="3" fontId="220" fillId="86" borderId="0" xfId="29659" applyNumberFormat="1" applyFont="1" applyFill="1" applyBorder="1" applyAlignment="1">
      <alignment horizontal="right" vertical="center" wrapText="1"/>
    </xf>
    <xf numFmtId="3" fontId="8" fillId="0" borderId="0" xfId="42855" applyNumberFormat="1" applyFont="1" applyFill="1" applyBorder="1" applyAlignment="1">
      <alignment vertical="center"/>
    </xf>
    <xf numFmtId="2" fontId="62" fillId="0" borderId="0" xfId="0" applyNumberFormat="1" applyFont="1"/>
    <xf numFmtId="0" fontId="32" fillId="0" borderId="3" xfId="0" applyFont="1" applyBorder="1" applyAlignment="1">
      <alignment horizontal="left" vertical="center" wrapText="1" indent="1"/>
    </xf>
    <xf numFmtId="177" fontId="32" fillId="0" borderId="0" xfId="0" applyNumberFormat="1" applyFont="1" applyAlignment="1">
      <alignment horizontal="right" vertical="center"/>
    </xf>
    <xf numFmtId="182" fontId="189" fillId="80" borderId="9" xfId="0" applyNumberFormat="1" applyFont="1" applyFill="1" applyBorder="1" applyAlignment="1">
      <alignment vertical="center" wrapText="1"/>
    </xf>
    <xf numFmtId="177" fontId="32" fillId="0" borderId="3" xfId="0" applyNumberFormat="1" applyFont="1" applyBorder="1" applyAlignment="1">
      <alignment horizontal="right" vertical="center"/>
    </xf>
    <xf numFmtId="176" fontId="235" fillId="0" borderId="0" xfId="0" applyNumberFormat="1" applyFont="1" applyAlignment="1">
      <alignment horizontal="right" vertical="center"/>
    </xf>
    <xf numFmtId="177" fontId="32" fillId="2" borderId="0" xfId="0" applyNumberFormat="1" applyFont="1" applyFill="1" applyAlignment="1">
      <alignment horizontal="right" vertical="center"/>
    </xf>
    <xf numFmtId="177" fontId="236" fillId="2" borderId="0" xfId="0" applyNumberFormat="1" applyFont="1" applyFill="1" applyAlignment="1">
      <alignment horizontal="right" vertical="center"/>
    </xf>
    <xf numFmtId="185" fontId="32" fillId="0" borderId="0" xfId="0" applyNumberFormat="1" applyFont="1"/>
    <xf numFmtId="177" fontId="32" fillId="2" borderId="3" xfId="0" applyNumberFormat="1" applyFont="1" applyFill="1" applyBorder="1" applyAlignment="1">
      <alignment horizontal="right" vertical="center"/>
    </xf>
    <xf numFmtId="182" fontId="237" fillId="85" borderId="9" xfId="0" applyNumberFormat="1" applyFont="1" applyFill="1" applyBorder="1" applyAlignment="1">
      <alignment vertical="center" wrapText="1"/>
    </xf>
    <xf numFmtId="182" fontId="238" fillId="85" borderId="9" xfId="0" applyNumberFormat="1" applyFont="1" applyFill="1" applyBorder="1" applyAlignment="1">
      <alignment vertical="center" wrapText="1"/>
    </xf>
    <xf numFmtId="182" fontId="238" fillId="85" borderId="0" xfId="0" applyNumberFormat="1" applyFont="1" applyFill="1" applyAlignment="1">
      <alignment vertical="center" wrapText="1"/>
    </xf>
    <xf numFmtId="177" fontId="32" fillId="2" borderId="142" xfId="0" applyNumberFormat="1" applyFont="1" applyFill="1" applyBorder="1" applyAlignment="1">
      <alignment horizontal="right" vertical="center"/>
    </xf>
    <xf numFmtId="0" fontId="215" fillId="78" borderId="0" xfId="0" applyFont="1" applyFill="1"/>
    <xf numFmtId="0" fontId="32" fillId="0" borderId="0" xfId="0" applyFont="1"/>
    <xf numFmtId="177" fontId="227" fillId="0" borderId="0" xfId="0" applyNumberFormat="1" applyFont="1" applyAlignment="1">
      <alignment horizontal="right" vertical="center"/>
    </xf>
    <xf numFmtId="177" fontId="227" fillId="2" borderId="0" xfId="0" applyNumberFormat="1" applyFont="1" applyFill="1" applyAlignment="1">
      <alignment horizontal="right" vertical="center"/>
    </xf>
    <xf numFmtId="177" fontId="233" fillId="2" borderId="0" xfId="0" applyNumberFormat="1" applyFont="1" applyFill="1" applyAlignment="1">
      <alignment horizontal="right" vertical="center"/>
    </xf>
    <xf numFmtId="182" fontId="237" fillId="85" borderId="0" xfId="0" applyNumberFormat="1" applyFont="1" applyFill="1" applyAlignment="1">
      <alignment vertical="center" wrapText="1"/>
    </xf>
    <xf numFmtId="220" fontId="191" fillId="83" borderId="142" xfId="0" applyNumberFormat="1" applyFont="1" applyFill="1" applyBorder="1" applyAlignment="1">
      <alignment vertical="center"/>
    </xf>
    <xf numFmtId="221" fontId="30" fillId="78" borderId="0" xfId="0" applyNumberFormat="1" applyFont="1" applyFill="1"/>
    <xf numFmtId="221" fontId="209" fillId="78" borderId="0" xfId="0" applyNumberFormat="1" applyFont="1" applyFill="1"/>
    <xf numFmtId="167" fontId="229" fillId="0" borderId="0" xfId="0" applyNumberFormat="1" applyFont="1" applyAlignment="1">
      <alignment horizontal="right" vertical="center"/>
    </xf>
    <xf numFmtId="170" fontId="14" fillId="2" borderId="66" xfId="0" applyNumberFormat="1" applyFont="1" applyFill="1" applyBorder="1" applyAlignment="1">
      <alignment horizontal="right" vertical="center"/>
    </xf>
    <xf numFmtId="0" fontId="78" fillId="0" borderId="0" xfId="0" applyFont="1"/>
    <xf numFmtId="0" fontId="2" fillId="2" borderId="92" xfId="0" applyFont="1" applyFill="1" applyBorder="1" applyAlignment="1">
      <alignment horizontal="left" vertical="center" wrapText="1" indent="4"/>
    </xf>
    <xf numFmtId="0" fontId="2" fillId="2" borderId="102" xfId="0" applyFont="1" applyFill="1" applyBorder="1" applyAlignment="1">
      <alignment horizontal="left" vertical="center" wrapText="1" indent="3"/>
    </xf>
    <xf numFmtId="170" fontId="2" fillId="2" borderId="0" xfId="0" applyNumberFormat="1" applyFont="1" applyFill="1" applyAlignment="1">
      <alignment vertical="center"/>
    </xf>
    <xf numFmtId="170" fontId="48" fillId="2" borderId="0" xfId="0" applyNumberFormat="1" applyFont="1" applyFill="1" applyAlignment="1">
      <alignment vertical="center"/>
    </xf>
    <xf numFmtId="170" fontId="44" fillId="80" borderId="94" xfId="0" applyNumberFormat="1" applyFont="1" applyFill="1" applyBorder="1" applyAlignment="1">
      <alignment vertical="center" wrapText="1"/>
    </xf>
    <xf numFmtId="0" fontId="2" fillId="2" borderId="0" xfId="0" applyFont="1" applyFill="1" applyAlignment="1">
      <alignment vertical="center"/>
    </xf>
    <xf numFmtId="0" fontId="2" fillId="0" borderId="0" xfId="0" applyFont="1" applyAlignment="1">
      <alignment vertical="center"/>
    </xf>
    <xf numFmtId="170" fontId="2" fillId="2" borderId="0" xfId="0" applyNumberFormat="1" applyFont="1" applyFill="1" applyAlignment="1">
      <alignment horizontal="right" vertical="center"/>
    </xf>
    <xf numFmtId="170" fontId="48" fillId="2" borderId="0" xfId="0" applyNumberFormat="1" applyFont="1" applyFill="1" applyAlignment="1">
      <alignment horizontal="right" vertical="center"/>
    </xf>
    <xf numFmtId="170" fontId="14" fillId="2" borderId="0" xfId="0" applyNumberFormat="1" applyFont="1" applyFill="1" applyAlignment="1">
      <alignment vertical="center"/>
    </xf>
    <xf numFmtId="0" fontId="31" fillId="0" borderId="16" xfId="0" applyFont="1" applyBorder="1" applyAlignment="1">
      <alignment horizontal="left" vertical="center" indent="3"/>
    </xf>
    <xf numFmtId="0" fontId="191" fillId="79" borderId="139" xfId="0" applyFont="1" applyFill="1" applyBorder="1" applyAlignment="1">
      <alignment horizontal="right" vertical="center"/>
    </xf>
    <xf numFmtId="170" fontId="191" fillId="87" borderId="141" xfId="0" applyNumberFormat="1" applyFont="1" applyFill="1" applyBorder="1" applyAlignment="1">
      <alignment vertical="center" wrapText="1"/>
    </xf>
    <xf numFmtId="182" fontId="46" fillId="85" borderId="143" xfId="0" applyNumberFormat="1" applyFont="1" applyFill="1" applyBorder="1" applyAlignment="1">
      <alignment vertical="center" wrapText="1"/>
    </xf>
    <xf numFmtId="215" fontId="191" fillId="87" borderId="141" xfId="0" applyNumberFormat="1" applyFont="1" applyFill="1" applyBorder="1" applyAlignment="1">
      <alignment vertical="center" wrapText="1"/>
    </xf>
    <xf numFmtId="182" fontId="33" fillId="85" borderId="143" xfId="0" applyNumberFormat="1" applyFont="1" applyFill="1" applyBorder="1" applyAlignment="1">
      <alignment vertical="center" wrapText="1"/>
    </xf>
    <xf numFmtId="182" fontId="237" fillId="85" borderId="143" xfId="0" applyNumberFormat="1" applyFont="1" applyFill="1" applyBorder="1" applyAlignment="1">
      <alignment vertical="center" wrapText="1"/>
    </xf>
    <xf numFmtId="181" fontId="191" fillId="87" borderId="143" xfId="0" applyNumberFormat="1" applyFont="1" applyFill="1" applyBorder="1" applyAlignment="1">
      <alignment vertical="center" wrapText="1"/>
    </xf>
    <xf numFmtId="170" fontId="191" fillId="87" borderId="143" xfId="0" applyNumberFormat="1" applyFont="1" applyFill="1" applyBorder="1" applyAlignment="1">
      <alignment vertical="center" wrapText="1"/>
    </xf>
    <xf numFmtId="186" fontId="33" fillId="85" borderId="143" xfId="0" applyNumberFormat="1" applyFont="1" applyFill="1" applyBorder="1" applyAlignment="1">
      <alignment vertical="center" wrapText="1"/>
    </xf>
    <xf numFmtId="169" fontId="191" fillId="87" borderId="143" xfId="0" applyNumberFormat="1" applyFont="1" applyFill="1" applyBorder="1" applyAlignment="1">
      <alignment vertical="center" wrapText="1"/>
    </xf>
    <xf numFmtId="169" fontId="191" fillId="87" borderId="143" xfId="7" applyNumberFormat="1" applyFont="1" applyFill="1" applyBorder="1" applyAlignment="1">
      <alignment vertical="center" wrapText="1"/>
    </xf>
    <xf numFmtId="216" fontId="222" fillId="0" borderId="108" xfId="42855" applyNumberFormat="1" applyFont="1" applyFill="1" applyBorder="1" applyAlignment="1">
      <alignment vertical="center"/>
    </xf>
    <xf numFmtId="216" fontId="222" fillId="0" borderId="0" xfId="42855" applyNumberFormat="1" applyFont="1" applyFill="1" applyBorder="1" applyAlignment="1">
      <alignment vertical="center"/>
    </xf>
    <xf numFmtId="3" fontId="222" fillId="0" borderId="0" xfId="42855" applyNumberFormat="1" applyFont="1" applyFill="1" applyBorder="1" applyAlignment="1">
      <alignment vertical="center"/>
    </xf>
    <xf numFmtId="9" fontId="42" fillId="2" borderId="0" xfId="7" applyFont="1" applyFill="1" applyAlignment="1">
      <alignment vertical="center"/>
    </xf>
    <xf numFmtId="169" fontId="11" fillId="0" borderId="0" xfId="7" applyNumberFormat="1" applyFont="1" applyAlignment="1">
      <alignment horizontal="right" vertical="center"/>
    </xf>
    <xf numFmtId="0" fontId="8" fillId="0" borderId="0" xfId="7" applyNumberFormat="1" applyFont="1" applyAlignment="1">
      <alignment vertical="center"/>
    </xf>
    <xf numFmtId="170" fontId="219" fillId="0" borderId="0" xfId="0" applyNumberFormat="1" applyFont="1" applyAlignment="1">
      <alignment horizontal="right" vertical="center" wrapText="1"/>
    </xf>
    <xf numFmtId="181" fontId="11" fillId="0" borderId="9" xfId="0" applyNumberFormat="1" applyFont="1" applyBorder="1" applyAlignment="1">
      <alignment horizontal="right" vertical="center"/>
    </xf>
    <xf numFmtId="170" fontId="19" fillId="2" borderId="106" xfId="20233" applyNumberFormat="1" applyFont="1" applyFill="1" applyBorder="1" applyAlignment="1">
      <alignment horizontal="right" vertical="center" wrapText="1"/>
    </xf>
    <xf numFmtId="9" fontId="241" fillId="0" borderId="0" xfId="7" applyFont="1" applyAlignment="1">
      <alignment vertical="center"/>
    </xf>
    <xf numFmtId="173" fontId="227" fillId="0" borderId="9" xfId="0" applyNumberFormat="1" applyFont="1" applyBorder="1" applyAlignment="1">
      <alignment vertical="center"/>
    </xf>
    <xf numFmtId="222" fontId="176" fillId="80" borderId="94" xfId="0" applyNumberFormat="1" applyFont="1" applyFill="1" applyBorder="1" applyAlignment="1">
      <alignment vertical="center" wrapText="1"/>
    </xf>
    <xf numFmtId="169" fontId="30" fillId="78" borderId="0" xfId="7" applyNumberFormat="1" applyFont="1" applyFill="1" applyAlignment="1">
      <alignment vertical="center"/>
    </xf>
    <xf numFmtId="2" fontId="230" fillId="0" borderId="0" xfId="0" applyNumberFormat="1" applyFont="1" applyAlignment="1">
      <alignment horizontal="right" vertical="center" wrapText="1"/>
    </xf>
    <xf numFmtId="0" fontId="230" fillId="0" borderId="0" xfId="0" applyFont="1" applyAlignment="1">
      <alignment horizontal="right" vertical="center" wrapText="1"/>
    </xf>
    <xf numFmtId="0" fontId="242" fillId="0" borderId="0" xfId="0" applyFont="1" applyAlignment="1">
      <alignment vertical="center"/>
    </xf>
    <xf numFmtId="0" fontId="11" fillId="0" borderId="70" xfId="0" applyFont="1" applyBorder="1" applyAlignment="1">
      <alignment vertical="center"/>
    </xf>
    <xf numFmtId="0" fontId="240" fillId="0" borderId="0" xfId="0" applyFont="1" applyAlignment="1">
      <alignment horizontal="center" vertical="center" wrapText="1"/>
    </xf>
    <xf numFmtId="0" fontId="240" fillId="0" borderId="0" xfId="0" applyFont="1" applyAlignment="1">
      <alignment horizontal="right" vertical="center"/>
    </xf>
    <xf numFmtId="0" fontId="219" fillId="0" borderId="0" xfId="0" applyFont="1" applyAlignment="1">
      <alignment horizontal="center" vertical="center" wrapText="1"/>
    </xf>
    <xf numFmtId="169" fontId="11" fillId="0" borderId="0" xfId="7" applyNumberFormat="1" applyFont="1" applyFill="1" applyBorder="1" applyAlignment="1">
      <alignment vertical="center"/>
    </xf>
    <xf numFmtId="169" fontId="78" fillId="0" borderId="0" xfId="7" applyNumberFormat="1" applyFont="1" applyFill="1" applyBorder="1" applyAlignment="1">
      <alignment vertical="center"/>
    </xf>
    <xf numFmtId="170" fontId="78" fillId="0" borderId="0" xfId="0" applyNumberFormat="1" applyFont="1" applyAlignment="1">
      <alignment vertical="center"/>
    </xf>
    <xf numFmtId="169" fontId="8" fillId="0" borderId="0" xfId="7" applyNumberFormat="1" applyFont="1" applyAlignment="1">
      <alignment vertical="center"/>
    </xf>
    <xf numFmtId="170" fontId="26" fillId="0" borderId="0" xfId="0" applyNumberFormat="1" applyFont="1" applyAlignment="1">
      <alignment vertical="center"/>
    </xf>
    <xf numFmtId="169" fontId="186" fillId="0" borderId="0" xfId="7" applyNumberFormat="1" applyFont="1"/>
    <xf numFmtId="170" fontId="219" fillId="0" borderId="0" xfId="0" applyNumberFormat="1" applyFont="1" applyAlignment="1">
      <alignment horizontal="right" vertical="center"/>
    </xf>
    <xf numFmtId="170" fontId="49" fillId="2" borderId="0" xfId="0" applyNumberFormat="1" applyFont="1" applyFill="1"/>
    <xf numFmtId="169" fontId="0" fillId="0" borderId="0" xfId="7" applyNumberFormat="1" applyFont="1"/>
    <xf numFmtId="170" fontId="23" fillId="2" borderId="0" xfId="0" applyNumberFormat="1" applyFont="1" applyFill="1" applyAlignment="1">
      <alignment vertical="center"/>
    </xf>
    <xf numFmtId="0" fontId="2" fillId="2" borderId="0" xfId="0" applyFont="1" applyFill="1"/>
    <xf numFmtId="0" fontId="2" fillId="2" borderId="0" xfId="0" applyFont="1" applyFill="1" applyAlignment="1">
      <alignment vertical="center" wrapText="1"/>
    </xf>
    <xf numFmtId="169" fontId="2" fillId="0" borderId="0" xfId="0" applyNumberFormat="1" applyFont="1"/>
    <xf numFmtId="0" fontId="2" fillId="0" borderId="0" xfId="0" applyFont="1"/>
    <xf numFmtId="170" fontId="2" fillId="0" borderId="0" xfId="0" applyNumberFormat="1" applyFont="1" applyAlignment="1">
      <alignment vertical="center"/>
    </xf>
    <xf numFmtId="169" fontId="2" fillId="0" borderId="0" xfId="0" applyNumberFormat="1" applyFont="1" applyAlignment="1">
      <alignment vertical="center"/>
    </xf>
    <xf numFmtId="170" fontId="2" fillId="0" borderId="0" xfId="0" applyNumberFormat="1" applyFont="1"/>
    <xf numFmtId="0" fontId="2" fillId="0" borderId="0" xfId="0" quotePrefix="1" applyFont="1"/>
    <xf numFmtId="0" fontId="2" fillId="0" borderId="16" xfId="0" applyFont="1" applyBorder="1" applyAlignment="1">
      <alignment vertical="center"/>
    </xf>
    <xf numFmtId="0" fontId="2" fillId="0" borderId="17" xfId="0" applyFont="1" applyBorder="1" applyAlignment="1">
      <alignment vertical="center"/>
    </xf>
    <xf numFmtId="0" fontId="2" fillId="0" borderId="53" xfId="0" applyFont="1" applyBorder="1" applyAlignment="1">
      <alignment vertical="center"/>
    </xf>
    <xf numFmtId="170" fontId="2" fillId="2" borderId="53" xfId="0" applyNumberFormat="1" applyFont="1" applyFill="1" applyBorder="1" applyAlignment="1">
      <alignment vertical="center"/>
    </xf>
    <xf numFmtId="3" fontId="2" fillId="2" borderId="0" xfId="0" applyNumberFormat="1" applyFont="1" applyFill="1" applyAlignment="1">
      <alignment vertical="center"/>
    </xf>
    <xf numFmtId="3" fontId="2" fillId="2" borderId="53" xfId="0" applyNumberFormat="1" applyFont="1" applyFill="1" applyBorder="1" applyAlignment="1">
      <alignment vertical="center"/>
    </xf>
    <xf numFmtId="2" fontId="30" fillId="78" borderId="0" xfId="7" applyNumberFormat="1" applyFont="1" applyFill="1"/>
    <xf numFmtId="2" fontId="30" fillId="78" borderId="0" xfId="7" applyNumberFormat="1" applyFont="1" applyFill="1" applyAlignment="1">
      <alignment vertical="center"/>
    </xf>
    <xf numFmtId="165" fontId="227" fillId="0" borderId="9" xfId="0" applyNumberFormat="1" applyFont="1" applyBorder="1" applyAlignment="1">
      <alignment horizontal="right" vertical="center"/>
    </xf>
    <xf numFmtId="219" fontId="227" fillId="78" borderId="0" xfId="0" applyNumberFormat="1" applyFont="1" applyFill="1"/>
    <xf numFmtId="2" fontId="227" fillId="78" borderId="0" xfId="7" applyNumberFormat="1" applyFont="1" applyFill="1"/>
    <xf numFmtId="169" fontId="32" fillId="2" borderId="0" xfId="7" applyNumberFormat="1" applyFont="1" applyFill="1"/>
    <xf numFmtId="165" fontId="227" fillId="2" borderId="9" xfId="0" applyNumberFormat="1" applyFont="1" applyFill="1" applyBorder="1" applyAlignment="1">
      <alignment horizontal="right" vertical="center"/>
    </xf>
    <xf numFmtId="217" fontId="227" fillId="2" borderId="9" xfId="0" applyNumberFormat="1" applyFont="1" applyFill="1" applyBorder="1" applyAlignment="1">
      <alignment horizontal="right" vertical="center"/>
    </xf>
    <xf numFmtId="169" fontId="78" fillId="0" borderId="0" xfId="7" applyNumberFormat="1" applyFont="1" applyAlignment="1">
      <alignment vertical="center"/>
    </xf>
    <xf numFmtId="169" fontId="23" fillId="2" borderId="0" xfId="7" applyNumberFormat="1" applyFont="1" applyFill="1" applyAlignment="1">
      <alignment vertical="center"/>
    </xf>
    <xf numFmtId="169" fontId="49" fillId="2" borderId="0" xfId="7" applyNumberFormat="1" applyFont="1" applyFill="1"/>
    <xf numFmtId="182" fontId="238" fillId="85" borderId="143" xfId="0" applyNumberFormat="1" applyFont="1" applyFill="1" applyBorder="1" applyAlignment="1">
      <alignment vertical="center" wrapText="1"/>
    </xf>
    <xf numFmtId="173" fontId="24" fillId="2" borderId="9" xfId="0" applyNumberFormat="1" applyFont="1" applyFill="1" applyBorder="1" applyAlignment="1">
      <alignment horizontal="right" vertical="center"/>
    </xf>
    <xf numFmtId="181" fontId="24" fillId="2" borderId="0" xfId="0" applyNumberFormat="1" applyFont="1" applyFill="1" applyAlignment="1">
      <alignment horizontal="right" vertical="center"/>
    </xf>
    <xf numFmtId="181" fontId="34" fillId="2" borderId="0" xfId="0" applyNumberFormat="1" applyFont="1" applyFill="1" applyAlignment="1">
      <alignment horizontal="right" vertical="center"/>
    </xf>
    <xf numFmtId="170" fontId="185" fillId="2" borderId="66" xfId="0" applyNumberFormat="1" applyFont="1" applyFill="1" applyBorder="1" applyAlignment="1">
      <alignment horizontal="right" vertical="center"/>
    </xf>
    <xf numFmtId="170" fontId="212" fillId="80" borderId="101" xfId="0" applyNumberFormat="1" applyFont="1" applyFill="1" applyBorder="1" applyAlignment="1">
      <alignment vertical="center" wrapText="1"/>
    </xf>
    <xf numFmtId="170" fontId="243" fillId="2" borderId="0" xfId="0" applyNumberFormat="1" applyFont="1" applyFill="1" applyAlignment="1">
      <alignment vertical="center"/>
    </xf>
    <xf numFmtId="170" fontId="211" fillId="80" borderId="94" xfId="0" applyNumberFormat="1" applyFont="1" applyFill="1" applyBorder="1" applyAlignment="1">
      <alignment vertical="center" wrapText="1"/>
    </xf>
    <xf numFmtId="0" fontId="1" fillId="2" borderId="0" xfId="0" applyFont="1" applyFill="1" applyAlignment="1">
      <alignment wrapText="1"/>
    </xf>
    <xf numFmtId="0" fontId="2" fillId="2" borderId="0" xfId="0" applyFont="1" applyFill="1" applyAlignment="1">
      <alignment wrapText="1"/>
    </xf>
    <xf numFmtId="0" fontId="1" fillId="2" borderId="0" xfId="0" applyFont="1" applyFill="1" applyAlignment="1">
      <alignment vertical="top" wrapText="1"/>
    </xf>
    <xf numFmtId="0" fontId="190" fillId="75" borderId="77" xfId="0" applyFont="1" applyFill="1" applyBorder="1" applyAlignment="1">
      <alignment horizontal="center" vertical="center" wrapText="1"/>
    </xf>
    <xf numFmtId="0" fontId="190" fillId="75" borderId="69" xfId="0" applyFont="1" applyFill="1" applyBorder="1" applyAlignment="1">
      <alignment horizontal="center" vertical="center" wrapText="1"/>
    </xf>
    <xf numFmtId="0" fontId="190" fillId="75" borderId="78" xfId="0" applyFont="1" applyFill="1" applyBorder="1" applyAlignment="1">
      <alignment horizontal="center" vertical="center" wrapText="1"/>
    </xf>
    <xf numFmtId="0" fontId="190" fillId="75" borderId="137" xfId="0" applyFont="1" applyFill="1" applyBorder="1" applyAlignment="1">
      <alignment horizontal="center" vertical="center" wrapText="1"/>
    </xf>
    <xf numFmtId="0" fontId="190" fillId="75" borderId="147" xfId="0" applyFont="1" applyFill="1" applyBorder="1" applyAlignment="1">
      <alignment horizontal="center" vertical="center" wrapText="1"/>
    </xf>
    <xf numFmtId="0" fontId="11" fillId="0" borderId="0" xfId="0" applyFont="1" applyAlignment="1">
      <alignment horizontal="left" vertical="center" wrapText="1"/>
    </xf>
    <xf numFmtId="0" fontId="11" fillId="2" borderId="0" xfId="0" applyFont="1" applyFill="1" applyAlignment="1">
      <alignment horizontal="left" vertical="center" wrapText="1"/>
    </xf>
    <xf numFmtId="0" fontId="193" fillId="75" borderId="74" xfId="0" applyFont="1" applyFill="1" applyBorder="1" applyAlignment="1">
      <alignment horizontal="center" vertical="center" wrapText="1"/>
    </xf>
    <xf numFmtId="0" fontId="193" fillId="75" borderId="68" xfId="0" applyFont="1" applyFill="1" applyBorder="1" applyAlignment="1">
      <alignment horizontal="center" vertical="center"/>
    </xf>
    <xf numFmtId="0" fontId="193" fillId="75" borderId="76" xfId="0" applyFont="1" applyFill="1" applyBorder="1" applyAlignment="1">
      <alignment horizontal="center" vertical="center"/>
    </xf>
    <xf numFmtId="0" fontId="193" fillId="75" borderId="68" xfId="0" applyFont="1" applyFill="1" applyBorder="1" applyAlignment="1">
      <alignment horizontal="center" vertical="center" wrapText="1"/>
    </xf>
    <xf numFmtId="0" fontId="193" fillId="75" borderId="76" xfId="0" applyFont="1" applyFill="1" applyBorder="1" applyAlignment="1">
      <alignment horizontal="center" vertical="center" wrapText="1"/>
    </xf>
    <xf numFmtId="0" fontId="193" fillId="75" borderId="0" xfId="0" applyFont="1" applyFill="1" applyAlignment="1">
      <alignment horizontal="center" vertical="center" wrapText="1"/>
    </xf>
    <xf numFmtId="0" fontId="193" fillId="75" borderId="0" xfId="0" applyFont="1" applyFill="1" applyAlignment="1">
      <alignment horizontal="center" vertical="center"/>
    </xf>
    <xf numFmtId="0" fontId="193" fillId="75" borderId="94" xfId="0" applyFont="1" applyFill="1" applyBorder="1" applyAlignment="1">
      <alignment horizontal="center" vertical="center"/>
    </xf>
    <xf numFmtId="0" fontId="193" fillId="75" borderId="99" xfId="0" applyFont="1" applyFill="1" applyBorder="1" applyAlignment="1">
      <alignment horizontal="center" vertical="center" wrapText="1"/>
    </xf>
    <xf numFmtId="0" fontId="193" fillId="75" borderId="94" xfId="0" applyFont="1" applyFill="1" applyBorder="1" applyAlignment="1">
      <alignment horizontal="center" vertical="center" wrapText="1"/>
    </xf>
    <xf numFmtId="0" fontId="219" fillId="0" borderId="0" xfId="0" applyFont="1" applyAlignment="1">
      <alignment horizontal="center" vertical="center" wrapText="1"/>
    </xf>
    <xf numFmtId="0" fontId="219" fillId="0" borderId="0" xfId="0" applyFont="1" applyAlignment="1">
      <alignment horizontal="right" vertical="center"/>
    </xf>
    <xf numFmtId="0" fontId="190" fillId="75" borderId="68" xfId="0" applyFont="1" applyFill="1" applyBorder="1" applyAlignment="1">
      <alignment horizontal="center" vertical="center" wrapText="1"/>
    </xf>
    <xf numFmtId="0" fontId="193" fillId="75" borderId="105" xfId="20233" applyFont="1" applyFill="1" applyBorder="1" applyAlignment="1">
      <alignment horizontal="center" vertical="center" wrapText="1"/>
    </xf>
    <xf numFmtId="0" fontId="193" fillId="75" borderId="0" xfId="20233" applyFont="1" applyFill="1" applyAlignment="1">
      <alignment horizontal="center" vertical="center" wrapText="1"/>
    </xf>
    <xf numFmtId="0" fontId="193" fillId="75" borderId="106" xfId="20233" applyFont="1" applyFill="1" applyBorder="1" applyAlignment="1">
      <alignment horizontal="center" vertical="center" wrapText="1"/>
    </xf>
    <xf numFmtId="0" fontId="18" fillId="0" borderId="0" xfId="20233" applyFont="1" applyAlignment="1">
      <alignment horizontal="left" vertical="top" wrapText="1"/>
    </xf>
    <xf numFmtId="0" fontId="61" fillId="81" borderId="4" xfId="0" applyFont="1" applyFill="1" applyBorder="1" applyAlignment="1">
      <alignment horizontal="center" vertical="center" wrapText="1"/>
    </xf>
    <xf numFmtId="0" fontId="61" fillId="81" borderId="49" xfId="0" applyFont="1" applyFill="1" applyBorder="1" applyAlignment="1">
      <alignment horizontal="center" vertical="center" wrapText="1"/>
    </xf>
    <xf numFmtId="0" fontId="61" fillId="81" borderId="50" xfId="0" applyFont="1" applyFill="1" applyBorder="1" applyAlignment="1">
      <alignment horizontal="center" vertical="center" wrapText="1"/>
    </xf>
    <xf numFmtId="0" fontId="61" fillId="81" borderId="13" xfId="0" applyFont="1" applyFill="1" applyBorder="1" applyAlignment="1">
      <alignment horizontal="center" vertical="center" wrapText="1"/>
    </xf>
    <xf numFmtId="0" fontId="14" fillId="0" borderId="50" xfId="0" applyFont="1" applyBorder="1" applyAlignment="1">
      <alignment horizontal="center" vertical="center" wrapText="1"/>
    </xf>
    <xf numFmtId="0" fontId="14" fillId="0" borderId="13" xfId="0" applyFont="1" applyBorder="1" applyAlignment="1">
      <alignment horizontal="center" vertical="center" wrapText="1"/>
    </xf>
    <xf numFmtId="0" fontId="16" fillId="81" borderId="15" xfId="0" applyFont="1" applyFill="1" applyBorder="1" applyAlignment="1">
      <alignment horizontal="center" vertical="center" wrapText="1"/>
    </xf>
    <xf numFmtId="0" fontId="16" fillId="81" borderId="17" xfId="0" applyFont="1" applyFill="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64" fillId="81" borderId="50" xfId="0" applyFont="1" applyFill="1" applyBorder="1" applyAlignment="1">
      <alignment horizontal="center" vertical="center" wrapText="1"/>
    </xf>
    <xf numFmtId="0" fontId="64" fillId="81" borderId="13" xfId="0" applyFont="1" applyFill="1" applyBorder="1" applyAlignment="1">
      <alignment horizontal="center" vertical="center" wrapText="1"/>
    </xf>
    <xf numFmtId="0" fontId="61" fillId="81" borderId="15" xfId="0" applyFont="1" applyFill="1" applyBorder="1" applyAlignment="1">
      <alignment horizontal="center" vertical="center" wrapText="1"/>
    </xf>
    <xf numFmtId="0" fontId="61" fillId="81" borderId="17" xfId="0" applyFont="1" applyFill="1" applyBorder="1" applyAlignment="1">
      <alignment horizontal="center" vertical="center" wrapText="1"/>
    </xf>
    <xf numFmtId="0" fontId="64" fillId="81" borderId="15" xfId="0" applyFont="1" applyFill="1" applyBorder="1" applyAlignment="1">
      <alignment horizontal="center" vertical="center" wrapText="1"/>
    </xf>
    <xf numFmtId="0" fontId="64" fillId="81" borderId="17" xfId="0" applyFont="1" applyFill="1" applyBorder="1" applyAlignment="1">
      <alignment horizontal="center" vertical="center" wrapText="1"/>
    </xf>
    <xf numFmtId="0" fontId="61" fillId="0" borderId="6" xfId="0" applyFont="1" applyBorder="1" applyAlignment="1">
      <alignment horizontal="center" vertical="center" wrapText="1"/>
    </xf>
    <xf numFmtId="0" fontId="61" fillId="0" borderId="7" xfId="0" applyFont="1" applyBorder="1" applyAlignment="1">
      <alignment horizontal="center" vertical="center" wrapText="1"/>
    </xf>
    <xf numFmtId="0" fontId="61" fillId="0" borderId="50" xfId="0" applyFont="1" applyBorder="1" applyAlignment="1">
      <alignment horizontal="center" vertical="center" wrapText="1"/>
    </xf>
    <xf numFmtId="0" fontId="61" fillId="0" borderId="13" xfId="0" applyFont="1" applyBorder="1" applyAlignment="1">
      <alignment horizontal="center" vertical="center" wrapText="1"/>
    </xf>
    <xf numFmtId="0" fontId="239" fillId="75" borderId="68" xfId="0" applyFont="1" applyFill="1" applyBorder="1" applyAlignment="1">
      <alignment horizontal="center" vertical="center" wrapText="1"/>
    </xf>
    <xf numFmtId="0" fontId="193" fillId="75" borderId="4" xfId="0" applyFont="1" applyFill="1" applyBorder="1" applyAlignment="1">
      <alignment horizontal="center" vertical="center" wrapText="1"/>
    </xf>
    <xf numFmtId="0" fontId="193" fillId="75" borderId="49" xfId="0" applyFont="1" applyFill="1" applyBorder="1" applyAlignment="1">
      <alignment horizontal="center" vertical="center" wrapText="1"/>
    </xf>
    <xf numFmtId="0" fontId="193" fillId="75" borderId="50" xfId="0" applyFont="1" applyFill="1" applyBorder="1" applyAlignment="1">
      <alignment horizontal="center" vertical="center" wrapText="1"/>
    </xf>
    <xf numFmtId="0" fontId="193" fillId="75" borderId="13" xfId="0" applyFont="1" applyFill="1" applyBorder="1" applyAlignment="1">
      <alignment horizontal="center" vertical="center" wrapText="1"/>
    </xf>
    <xf numFmtId="0" fontId="18" fillId="0" borderId="0" xfId="0" applyFont="1" applyAlignment="1">
      <alignment horizontal="left" vertical="top" wrapText="1"/>
    </xf>
  </cellXfs>
  <cellStyles count="42857">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9">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E4EDF8"/>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9.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4"/>
  <sheetViews>
    <sheetView showGridLines="0" tabSelected="1" zoomScale="85" zoomScaleNormal="85" zoomScaleSheetLayoutView="85" workbookViewId="0">
      <pane xSplit="1" ySplit="4" topLeftCell="BP5" activePane="bottomRight" state="frozen"/>
      <selection pane="topRight" activeCell="B1" sqref="B1"/>
      <selection pane="bottomLeft" activeCell="A5" sqref="A5"/>
      <selection pane="bottomRight" activeCell="BX35" sqref="BX35"/>
    </sheetView>
  </sheetViews>
  <sheetFormatPr defaultColWidth="9" defaultRowHeight="28.5" customHeight="1" outlineLevelCol="1"/>
  <cols>
    <col min="1" max="2" width="41.58203125" style="5" customWidth="1"/>
    <col min="3" max="8" width="9" style="4" customWidth="1" outlineLevel="1"/>
    <col min="9" max="9" width="9" style="64" customWidth="1" outlineLevel="1"/>
    <col min="10" max="10" width="9" style="4" customWidth="1" outlineLevel="1"/>
    <col min="11" max="13" width="10.08203125" style="4" customWidth="1" outlineLevel="1"/>
    <col min="14" max="16" width="9.08203125" style="4" customWidth="1" outlineLevel="1"/>
    <col min="17" max="24" width="10.08203125" style="4" customWidth="1" outlineLevel="1"/>
    <col min="25" max="25" width="10.08203125" style="39" customWidth="1" outlineLevel="1"/>
    <col min="26" max="29" width="10.08203125" style="4" customWidth="1" outlineLevel="1"/>
    <col min="30" max="30" width="10.08203125" style="39" customWidth="1" outlineLevel="1"/>
    <col min="31" max="32" width="10.08203125" style="4" customWidth="1" outlineLevel="1"/>
    <col min="33" max="33" width="10.08203125" style="4" customWidth="1" outlineLevel="1" collapsed="1"/>
    <col min="34" max="34" width="10.08203125" style="4" customWidth="1" outlineLevel="1"/>
    <col min="35" max="35" width="10.08203125" style="39" customWidth="1" outlineLevel="1"/>
    <col min="36" max="36" width="10.08203125" style="4" customWidth="1" outlineLevel="1"/>
    <col min="37" max="37" width="10.08203125" style="100" customWidth="1" outlineLevel="1"/>
    <col min="38" max="38" width="4" customWidth="1" outlineLevel="1"/>
    <col min="39" max="40" width="10.08203125" style="4" customWidth="1" outlineLevel="1"/>
    <col min="41" max="41" width="10.08203125" style="39" customWidth="1" outlineLevel="1"/>
    <col min="42" max="45" width="10.08203125" style="4" customWidth="1" outlineLevel="1"/>
    <col min="46" max="46" width="10.08203125" style="39" customWidth="1" outlineLevel="1"/>
    <col min="47" max="50" width="10.08203125" style="4" customWidth="1" outlineLevel="1"/>
    <col min="51" max="51" width="10.08203125" style="39" customWidth="1" outlineLevel="1"/>
    <col min="52" max="55" width="10.08203125" style="4" customWidth="1" outlineLevel="1"/>
    <col min="56" max="56" width="10.08203125" style="39" customWidth="1" outlineLevel="1"/>
    <col min="57" max="57" width="10.08203125" style="4" customWidth="1" outlineLevel="1"/>
    <col min="58" max="58" width="10.08203125" style="705" customWidth="1" outlineLevel="1"/>
    <col min="59" max="60" width="10.08203125" style="4" customWidth="1"/>
    <col min="61" max="61" width="10.08203125" style="39" customWidth="1"/>
    <col min="62" max="62" width="10.08203125" style="4" customWidth="1"/>
    <col min="63" max="63" width="10.08203125" style="699" bestFit="1" customWidth="1"/>
    <col min="64" max="65" width="10.08203125" style="4" customWidth="1"/>
    <col min="66" max="66" width="10.08203125" style="39" customWidth="1"/>
    <col min="67" max="67" width="10.08203125" style="4" customWidth="1"/>
    <col min="68" max="68" width="10.08203125" style="699" bestFit="1" customWidth="1"/>
    <col min="69" max="70" width="10.08203125" style="4" customWidth="1"/>
    <col min="71" max="71" width="10.08203125" style="39" customWidth="1"/>
    <col min="72" max="72" width="10.08203125" style="4" customWidth="1"/>
    <col min="73" max="16384" width="9" style="5"/>
  </cols>
  <sheetData>
    <row r="1" spans="1:92" s="7" customFormat="1" ht="89.25" customHeight="1">
      <c r="A1" s="198"/>
      <c r="B1" s="3"/>
      <c r="C1" s="6"/>
      <c r="D1" s="6"/>
      <c r="E1" s="6"/>
      <c r="F1" s="6"/>
      <c r="G1" s="6"/>
      <c r="H1" s="6"/>
      <c r="I1" s="47"/>
      <c r="J1" s="6"/>
      <c r="K1" s="6"/>
      <c r="L1" s="6"/>
      <c r="M1" s="6"/>
      <c r="N1" s="6"/>
      <c r="O1" s="6"/>
      <c r="P1" s="6"/>
      <c r="Q1" s="6"/>
      <c r="R1" s="6"/>
      <c r="S1" s="6"/>
      <c r="T1" s="6"/>
      <c r="U1" s="48"/>
      <c r="V1" s="48"/>
      <c r="W1" s="48"/>
      <c r="X1" s="48"/>
      <c r="Y1" s="945"/>
      <c r="Z1" s="48"/>
      <c r="AA1" s="48"/>
      <c r="AB1" s="48"/>
      <c r="AC1" s="48"/>
      <c r="AD1" s="945"/>
      <c r="AE1" s="48"/>
      <c r="AF1" s="48"/>
      <c r="AG1" s="48"/>
      <c r="AH1" s="50"/>
      <c r="AI1" s="945"/>
      <c r="AJ1" s="48"/>
      <c r="AK1" s="97"/>
      <c r="AM1" s="48"/>
      <c r="AN1" s="48"/>
      <c r="AO1" s="945"/>
      <c r="AP1" s="48"/>
      <c r="AQ1" s="48"/>
      <c r="AR1" s="48"/>
      <c r="AS1" s="48"/>
      <c r="AT1" s="945"/>
      <c r="AU1" s="48"/>
      <c r="AV1" s="48"/>
      <c r="AW1" s="48"/>
      <c r="AX1" s="48"/>
      <c r="AY1" s="945"/>
      <c r="AZ1" s="48"/>
      <c r="BA1" s="48"/>
      <c r="BB1" s="48"/>
      <c r="BC1" s="48"/>
      <c r="BD1" s="945"/>
      <c r="BE1" s="48"/>
      <c r="BF1" s="700"/>
      <c r="BG1" s="48"/>
      <c r="BH1" s="48"/>
      <c r="BI1" s="945"/>
      <c r="BJ1" s="48"/>
      <c r="BK1" s="694"/>
      <c r="BL1" s="48"/>
      <c r="BM1" s="48"/>
      <c r="BN1" s="945"/>
      <c r="BO1" s="725"/>
      <c r="BP1" s="694"/>
      <c r="BQ1" s="48"/>
      <c r="BR1" s="48"/>
      <c r="BS1" s="945"/>
      <c r="BT1" s="725"/>
    </row>
    <row r="2" spans="1:92" s="447" customFormat="1" ht="32.15" customHeight="1">
      <c r="A2" s="491" t="s">
        <v>0</v>
      </c>
      <c r="B2" s="488" t="s">
        <v>1</v>
      </c>
      <c r="C2" s="982">
        <v>2012</v>
      </c>
      <c r="D2" s="982"/>
      <c r="E2" s="982"/>
      <c r="F2" s="982"/>
      <c r="G2" s="983"/>
      <c r="H2" s="982">
        <v>2013</v>
      </c>
      <c r="I2" s="982"/>
      <c r="J2" s="982"/>
      <c r="K2" s="982"/>
      <c r="L2" s="983"/>
      <c r="M2" s="981">
        <v>2014</v>
      </c>
      <c r="N2" s="982"/>
      <c r="O2" s="982"/>
      <c r="P2" s="982"/>
      <c r="Q2" s="983"/>
      <c r="R2" s="981">
        <v>2015</v>
      </c>
      <c r="S2" s="982"/>
      <c r="T2" s="982"/>
      <c r="U2" s="982"/>
      <c r="V2" s="983"/>
      <c r="W2" s="981">
        <v>2016</v>
      </c>
      <c r="X2" s="982"/>
      <c r="Y2" s="982"/>
      <c r="Z2" s="982"/>
      <c r="AA2" s="983"/>
      <c r="AB2" s="981">
        <v>2017</v>
      </c>
      <c r="AC2" s="982"/>
      <c r="AD2" s="982"/>
      <c r="AE2" s="982"/>
      <c r="AF2" s="983"/>
      <c r="AG2" s="981" t="s">
        <v>2</v>
      </c>
      <c r="AH2" s="982"/>
      <c r="AI2" s="982"/>
      <c r="AJ2" s="982"/>
      <c r="AK2" s="983"/>
      <c r="AL2"/>
      <c r="AM2" s="981" t="s">
        <v>3</v>
      </c>
      <c r="AN2" s="982"/>
      <c r="AO2" s="982"/>
      <c r="AP2" s="982"/>
      <c r="AQ2" s="983"/>
      <c r="AR2" s="981" t="s">
        <v>4</v>
      </c>
      <c r="AS2" s="982"/>
      <c r="AT2" s="982"/>
      <c r="AU2" s="982"/>
      <c r="AV2" s="983"/>
      <c r="AW2" s="981" t="s">
        <v>5</v>
      </c>
      <c r="AX2" s="982"/>
      <c r="AY2" s="982"/>
      <c r="AZ2" s="982"/>
      <c r="BA2" s="983"/>
      <c r="BB2" s="981" t="s">
        <v>6</v>
      </c>
      <c r="BC2" s="982"/>
      <c r="BD2" s="982"/>
      <c r="BE2" s="982"/>
      <c r="BF2" s="983"/>
      <c r="BG2" s="981" t="s">
        <v>7</v>
      </c>
      <c r="BH2" s="982"/>
      <c r="BI2" s="982"/>
      <c r="BJ2" s="982"/>
      <c r="BK2" s="983"/>
      <c r="BL2" s="981" t="s">
        <v>8</v>
      </c>
      <c r="BM2" s="982"/>
      <c r="BN2" s="982"/>
      <c r="BO2" s="982"/>
      <c r="BP2" s="982"/>
      <c r="BQ2" s="984" t="s">
        <v>9</v>
      </c>
      <c r="BR2" s="982"/>
      <c r="BS2" s="982"/>
      <c r="BT2" s="982"/>
      <c r="BU2" s="985"/>
      <c r="BV2" s="984" t="s">
        <v>10</v>
      </c>
      <c r="BW2" s="982"/>
      <c r="BX2" s="982"/>
      <c r="BY2" s="982"/>
      <c r="BZ2" s="985"/>
    </row>
    <row r="3" spans="1:92" s="447" customFormat="1" ht="32.15" customHeight="1">
      <c r="A3" s="416"/>
      <c r="B3" s="488"/>
      <c r="C3" s="476"/>
      <c r="D3" s="476"/>
      <c r="E3" s="476"/>
      <c r="F3" s="476"/>
      <c r="G3" s="489"/>
      <c r="H3" s="476"/>
      <c r="I3" s="476"/>
      <c r="J3" s="476"/>
      <c r="K3" s="476"/>
      <c r="L3" s="476"/>
      <c r="M3" s="490"/>
      <c r="N3" s="476"/>
      <c r="O3" s="476"/>
      <c r="P3" s="476"/>
      <c r="Q3" s="489"/>
      <c r="R3" s="476"/>
      <c r="S3" s="476"/>
      <c r="T3" s="476"/>
      <c r="U3" s="476"/>
      <c r="V3" s="489"/>
      <c r="W3" s="476"/>
      <c r="X3" s="476"/>
      <c r="Y3" s="476"/>
      <c r="Z3" s="476"/>
      <c r="AA3" s="489"/>
      <c r="AB3" s="476"/>
      <c r="AC3" s="476"/>
      <c r="AD3" s="476"/>
      <c r="AE3" s="476"/>
      <c r="AF3" s="489"/>
      <c r="AG3" s="981" t="s">
        <v>11</v>
      </c>
      <c r="AH3" s="982"/>
      <c r="AI3" s="982"/>
      <c r="AJ3" s="982"/>
      <c r="AK3" s="983"/>
      <c r="AL3"/>
      <c r="AM3" s="981" t="s">
        <v>12</v>
      </c>
      <c r="AN3" s="982"/>
      <c r="AO3" s="982"/>
      <c r="AP3" s="982"/>
      <c r="AQ3" s="983"/>
      <c r="AR3" s="981" t="s">
        <v>13</v>
      </c>
      <c r="AS3" s="982"/>
      <c r="AT3" s="982"/>
      <c r="AU3" s="982"/>
      <c r="AV3" s="983"/>
      <c r="AW3" s="981" t="s">
        <v>14</v>
      </c>
      <c r="AX3" s="982"/>
      <c r="AY3" s="982"/>
      <c r="AZ3" s="982"/>
      <c r="BA3" s="983"/>
      <c r="BB3" s="981" t="s">
        <v>15</v>
      </c>
      <c r="BC3" s="982"/>
      <c r="BD3" s="982"/>
      <c r="BE3" s="982"/>
      <c r="BF3" s="983"/>
      <c r="BG3" s="981" t="s">
        <v>16</v>
      </c>
      <c r="BH3" s="982"/>
      <c r="BI3" s="982"/>
      <c r="BJ3" s="982"/>
      <c r="BK3" s="983"/>
      <c r="BL3" s="981" t="s">
        <v>17</v>
      </c>
      <c r="BM3" s="982"/>
      <c r="BN3" s="982"/>
      <c r="BO3" s="982"/>
      <c r="BP3" s="982"/>
      <c r="BQ3" s="984" t="s">
        <v>18</v>
      </c>
      <c r="BR3" s="982"/>
      <c r="BS3" s="982"/>
      <c r="BT3" s="982"/>
      <c r="BU3" s="985"/>
      <c r="BV3" s="984" t="s">
        <v>19</v>
      </c>
      <c r="BW3" s="982"/>
      <c r="BX3" s="982"/>
      <c r="BY3" s="982"/>
      <c r="BZ3" s="985"/>
    </row>
    <row r="4" spans="1:92" s="452" customFormat="1" ht="16.5" customHeight="1">
      <c r="A4" s="418" t="s">
        <v>20</v>
      </c>
      <c r="B4" s="492" t="s">
        <v>21</v>
      </c>
      <c r="C4" s="420" t="s">
        <v>22</v>
      </c>
      <c r="D4" s="420" t="s">
        <v>23</v>
      </c>
      <c r="E4" s="420" t="s">
        <v>24</v>
      </c>
      <c r="F4" s="420" t="s">
        <v>25</v>
      </c>
      <c r="G4" s="493">
        <v>2012</v>
      </c>
      <c r="H4" s="494" t="s">
        <v>22</v>
      </c>
      <c r="I4" s="420" t="s">
        <v>23</v>
      </c>
      <c r="J4" s="420" t="s">
        <v>24</v>
      </c>
      <c r="K4" s="420" t="s">
        <v>25</v>
      </c>
      <c r="L4" s="493">
        <v>2013</v>
      </c>
      <c r="M4" s="494" t="s">
        <v>22</v>
      </c>
      <c r="N4" s="420" t="s">
        <v>23</v>
      </c>
      <c r="O4" s="420" t="s">
        <v>24</v>
      </c>
      <c r="P4" s="420" t="s">
        <v>25</v>
      </c>
      <c r="Q4" s="495">
        <v>2014</v>
      </c>
      <c r="R4" s="420" t="s">
        <v>22</v>
      </c>
      <c r="S4" s="420" t="s">
        <v>23</v>
      </c>
      <c r="T4" s="420" t="s">
        <v>24</v>
      </c>
      <c r="U4" s="420" t="s">
        <v>25</v>
      </c>
      <c r="V4" s="495">
        <v>2015</v>
      </c>
      <c r="W4" s="420" t="s">
        <v>26</v>
      </c>
      <c r="X4" s="420" t="s">
        <v>23</v>
      </c>
      <c r="Y4" s="421" t="s">
        <v>24</v>
      </c>
      <c r="Z4" s="420" t="s">
        <v>25</v>
      </c>
      <c r="AA4" s="495" t="s">
        <v>27</v>
      </c>
      <c r="AB4" s="420" t="s">
        <v>22</v>
      </c>
      <c r="AC4" s="420" t="s">
        <v>23</v>
      </c>
      <c r="AD4" s="421" t="s">
        <v>24</v>
      </c>
      <c r="AE4" s="420" t="s">
        <v>25</v>
      </c>
      <c r="AF4" s="495">
        <v>2017</v>
      </c>
      <c r="AG4" s="420" t="s">
        <v>22</v>
      </c>
      <c r="AH4" s="420" t="s">
        <v>23</v>
      </c>
      <c r="AI4" s="421" t="s">
        <v>24</v>
      </c>
      <c r="AJ4" s="420" t="s">
        <v>25</v>
      </c>
      <c r="AK4" s="495">
        <v>2018</v>
      </c>
      <c r="AL4" s="5"/>
      <c r="AM4" s="494" t="s">
        <v>22</v>
      </c>
      <c r="AN4" s="420" t="s">
        <v>23</v>
      </c>
      <c r="AO4" s="421" t="s">
        <v>24</v>
      </c>
      <c r="AP4" s="420" t="s">
        <v>25</v>
      </c>
      <c r="AQ4" s="495">
        <v>2018</v>
      </c>
      <c r="AR4" s="494" t="s">
        <v>22</v>
      </c>
      <c r="AS4" s="420" t="s">
        <v>23</v>
      </c>
      <c r="AT4" s="421" t="s">
        <v>24</v>
      </c>
      <c r="AU4" s="420" t="s">
        <v>25</v>
      </c>
      <c r="AV4" s="495" t="s">
        <v>28</v>
      </c>
      <c r="AW4" s="494" t="s">
        <v>22</v>
      </c>
      <c r="AX4" s="420" t="s">
        <v>23</v>
      </c>
      <c r="AY4" s="421" t="s">
        <v>24</v>
      </c>
      <c r="AZ4" s="420" t="s">
        <v>25</v>
      </c>
      <c r="BA4" s="495" t="s">
        <v>28</v>
      </c>
      <c r="BB4" s="494" t="s">
        <v>22</v>
      </c>
      <c r="BC4" s="420" t="s">
        <v>23</v>
      </c>
      <c r="BD4" s="421" t="s">
        <v>24</v>
      </c>
      <c r="BE4" s="420" t="s">
        <v>25</v>
      </c>
      <c r="BF4" s="706" t="s">
        <v>29</v>
      </c>
      <c r="BG4" s="494" t="s">
        <v>22</v>
      </c>
      <c r="BH4" s="420" t="s">
        <v>23</v>
      </c>
      <c r="BI4" s="421" t="s">
        <v>24</v>
      </c>
      <c r="BJ4" s="420" t="s">
        <v>25</v>
      </c>
      <c r="BK4" s="495" t="s">
        <v>30</v>
      </c>
      <c r="BL4" s="494" t="s">
        <v>22</v>
      </c>
      <c r="BM4" s="420" t="s">
        <v>23</v>
      </c>
      <c r="BN4" s="421" t="s">
        <v>24</v>
      </c>
      <c r="BO4" s="420" t="s">
        <v>25</v>
      </c>
      <c r="BP4" s="493" t="s">
        <v>31</v>
      </c>
      <c r="BQ4" s="827" t="s">
        <v>22</v>
      </c>
      <c r="BR4" s="420" t="s">
        <v>23</v>
      </c>
      <c r="BS4" s="421" t="s">
        <v>24</v>
      </c>
      <c r="BT4" s="420" t="s">
        <v>25</v>
      </c>
      <c r="BU4" s="904" t="s">
        <v>32</v>
      </c>
      <c r="BV4" s="827" t="s">
        <v>22</v>
      </c>
      <c r="BW4" s="420" t="s">
        <v>23</v>
      </c>
      <c r="BX4" s="421" t="s">
        <v>24</v>
      </c>
      <c r="BY4" s="420" t="s">
        <v>25</v>
      </c>
      <c r="BZ4" s="904" t="s">
        <v>33</v>
      </c>
    </row>
    <row r="5" spans="1:92" s="410" customFormat="1" ht="34.5" customHeight="1">
      <c r="A5" s="728" t="s">
        <v>34</v>
      </c>
      <c r="B5" s="729" t="s">
        <v>35</v>
      </c>
      <c r="C5" s="730">
        <f t="shared" ref="C5:AK5" si="0">SUM(C6:C10)</f>
        <v>669.2</v>
      </c>
      <c r="D5" s="730">
        <f t="shared" si="0"/>
        <v>713.8</v>
      </c>
      <c r="E5" s="730">
        <f t="shared" si="0"/>
        <v>644.5</v>
      </c>
      <c r="F5" s="730">
        <f t="shared" si="0"/>
        <v>750.60000000000014</v>
      </c>
      <c r="G5" s="731">
        <f t="shared" si="0"/>
        <v>2778.0999999999995</v>
      </c>
      <c r="H5" s="732">
        <f t="shared" si="0"/>
        <v>697.1</v>
      </c>
      <c r="I5" s="730">
        <f t="shared" si="0"/>
        <v>735.9</v>
      </c>
      <c r="J5" s="730">
        <f t="shared" si="0"/>
        <v>677.3</v>
      </c>
      <c r="K5" s="730">
        <f t="shared" si="0"/>
        <v>800.5</v>
      </c>
      <c r="L5" s="731">
        <f t="shared" si="0"/>
        <v>2910.8</v>
      </c>
      <c r="M5" s="732">
        <f t="shared" si="0"/>
        <v>723.29999999999984</v>
      </c>
      <c r="N5" s="730">
        <f t="shared" si="0"/>
        <v>1745.9</v>
      </c>
      <c r="O5" s="730">
        <f t="shared" si="0"/>
        <v>2419.6</v>
      </c>
      <c r="P5" s="730">
        <f t="shared" si="0"/>
        <v>2521.1000000000004</v>
      </c>
      <c r="Q5" s="731">
        <f t="shared" si="0"/>
        <v>7409.9</v>
      </c>
      <c r="R5" s="730">
        <f t="shared" si="0"/>
        <v>2329</v>
      </c>
      <c r="S5" s="730">
        <f t="shared" si="0"/>
        <v>2469.1999999999998</v>
      </c>
      <c r="T5" s="730">
        <f t="shared" si="0"/>
        <v>2414.8999999999996</v>
      </c>
      <c r="U5" s="730">
        <f t="shared" si="0"/>
        <v>2609.9</v>
      </c>
      <c r="V5" s="731">
        <f t="shared" si="0"/>
        <v>9823</v>
      </c>
      <c r="W5" s="730">
        <f t="shared" si="0"/>
        <v>2364</v>
      </c>
      <c r="X5" s="730">
        <f t="shared" si="0"/>
        <v>2442.9</v>
      </c>
      <c r="Y5" s="733">
        <f t="shared" si="0"/>
        <v>2387.8000000000002</v>
      </c>
      <c r="Z5" s="733">
        <f t="shared" si="0"/>
        <v>2535.1</v>
      </c>
      <c r="AA5" s="731">
        <f t="shared" si="0"/>
        <v>9729.7999999999993</v>
      </c>
      <c r="AB5" s="730">
        <f t="shared" si="0"/>
        <v>2388.6</v>
      </c>
      <c r="AC5" s="730">
        <f t="shared" si="0"/>
        <v>2469.9</v>
      </c>
      <c r="AD5" s="730">
        <f t="shared" si="0"/>
        <v>2390.9</v>
      </c>
      <c r="AE5" s="730">
        <f t="shared" si="0"/>
        <v>2579.1999999999998</v>
      </c>
      <c r="AF5" s="731">
        <f t="shared" si="0"/>
        <v>9828.6</v>
      </c>
      <c r="AG5" s="730">
        <f t="shared" si="0"/>
        <v>2360.6999999999998</v>
      </c>
      <c r="AH5" s="730">
        <f t="shared" si="0"/>
        <v>2476.9</v>
      </c>
      <c r="AI5" s="730">
        <f t="shared" si="0"/>
        <v>2435.4</v>
      </c>
      <c r="AJ5" s="734">
        <f t="shared" si="0"/>
        <v>2682</v>
      </c>
      <c r="AK5" s="731">
        <f t="shared" si="0"/>
        <v>9955</v>
      </c>
      <c r="AL5" s="735"/>
      <c r="AM5" s="732">
        <f t="shared" ref="AM5:BP5" si="1">SUM(AM6:AM10)</f>
        <v>2345.9</v>
      </c>
      <c r="AN5" s="730">
        <f t="shared" si="1"/>
        <v>2603.1999999999998</v>
      </c>
      <c r="AO5" s="730">
        <f t="shared" si="1"/>
        <v>2735</v>
      </c>
      <c r="AP5" s="734">
        <f t="shared" si="1"/>
        <v>3002</v>
      </c>
      <c r="AQ5" s="731">
        <f t="shared" si="1"/>
        <v>10686.100000000002</v>
      </c>
      <c r="AR5" s="732">
        <f t="shared" si="1"/>
        <v>2782.4</v>
      </c>
      <c r="AS5" s="730">
        <f t="shared" si="1"/>
        <v>2913</v>
      </c>
      <c r="AT5" s="730">
        <f t="shared" si="1"/>
        <v>2882.3</v>
      </c>
      <c r="AU5" s="730">
        <f t="shared" si="1"/>
        <v>3059.0000000000005</v>
      </c>
      <c r="AV5" s="731">
        <f t="shared" si="1"/>
        <v>11636.7</v>
      </c>
      <c r="AW5" s="732">
        <f t="shared" si="1"/>
        <v>2791.6</v>
      </c>
      <c r="AX5" s="730">
        <f t="shared" si="1"/>
        <v>2923</v>
      </c>
      <c r="AY5" s="730">
        <f t="shared" si="1"/>
        <v>2892.4</v>
      </c>
      <c r="AZ5" s="730">
        <f t="shared" si="1"/>
        <v>3069.1000000000004</v>
      </c>
      <c r="BA5" s="731">
        <f t="shared" si="1"/>
        <v>11676.1</v>
      </c>
      <c r="BB5" s="732">
        <f t="shared" si="1"/>
        <v>2848.4999999999995</v>
      </c>
      <c r="BC5" s="730">
        <f t="shared" si="1"/>
        <v>2862.7000000000003</v>
      </c>
      <c r="BD5" s="730">
        <f t="shared" si="1"/>
        <v>3003.5</v>
      </c>
      <c r="BE5" s="730">
        <f t="shared" si="1"/>
        <v>3248.2000000000003</v>
      </c>
      <c r="BF5" s="736">
        <f t="shared" si="1"/>
        <v>11962.9</v>
      </c>
      <c r="BG5" s="732">
        <f t="shared" si="1"/>
        <v>2987.4</v>
      </c>
      <c r="BH5" s="730">
        <f t="shared" si="1"/>
        <v>3159.7000000000003</v>
      </c>
      <c r="BI5" s="730">
        <f t="shared" si="1"/>
        <v>3031.9</v>
      </c>
      <c r="BJ5" s="730">
        <f t="shared" si="1"/>
        <v>3265</v>
      </c>
      <c r="BK5" s="736">
        <f t="shared" si="1"/>
        <v>12443.999999999998</v>
      </c>
      <c r="BL5" s="732">
        <f t="shared" si="1"/>
        <v>2986.7000000000003</v>
      </c>
      <c r="BM5" s="730">
        <f t="shared" si="1"/>
        <v>3228.1</v>
      </c>
      <c r="BN5" s="730">
        <f>SUM(BN6:BN10)</f>
        <v>3270.9000000000005</v>
      </c>
      <c r="BO5" s="730">
        <f t="shared" si="1"/>
        <v>3429.5999999999995</v>
      </c>
      <c r="BP5" s="818">
        <f t="shared" si="1"/>
        <v>12915.3</v>
      </c>
      <c r="BQ5" s="828">
        <f t="shared" ref="BQ5:BR5" si="2">SUM(BQ6:BQ10)</f>
        <v>3199.3</v>
      </c>
      <c r="BR5" s="730">
        <f t="shared" si="2"/>
        <v>3289.8</v>
      </c>
      <c r="BS5" s="730">
        <f>SUM(BS6:BS10)</f>
        <v>3455.7</v>
      </c>
      <c r="BT5" s="730">
        <f>SUM(BT6:BT10)</f>
        <v>3681.4999999999995</v>
      </c>
      <c r="BU5" s="905">
        <f>SUM(BU6:BU10)</f>
        <v>13626.300000000001</v>
      </c>
      <c r="BV5" s="828">
        <f t="shared" ref="BV5:BW5" si="3">SUM(BV6:BV10)</f>
        <v>3404.9986297200007</v>
      </c>
      <c r="BW5" s="828">
        <f t="shared" si="3"/>
        <v>3454.3000000000006</v>
      </c>
      <c r="BX5" s="730"/>
      <c r="BY5" s="730"/>
      <c r="BZ5" s="905">
        <f>SUM(BZ6:BZ10)</f>
        <v>6859.2986297200005</v>
      </c>
      <c r="CA5" s="839"/>
      <c r="CB5" s="959"/>
      <c r="CC5" s="840"/>
      <c r="CD5" s="888"/>
      <c r="CE5" s="888"/>
      <c r="CG5" s="839"/>
      <c r="CH5" s="839"/>
    </row>
    <row r="6" spans="1:92" ht="30" customHeight="1">
      <c r="A6" s="49" t="s">
        <v>36</v>
      </c>
      <c r="B6" s="112" t="s">
        <v>37</v>
      </c>
      <c r="C6" s="50">
        <v>424</v>
      </c>
      <c r="D6" s="50">
        <v>427.1</v>
      </c>
      <c r="E6" s="50">
        <v>434.4</v>
      </c>
      <c r="F6" s="50">
        <v>446.6</v>
      </c>
      <c r="G6" s="199">
        <f>SUM(C6:F6)</f>
        <v>1732.1</v>
      </c>
      <c r="H6" s="51">
        <v>451.7</v>
      </c>
      <c r="I6" s="50">
        <v>452</v>
      </c>
      <c r="J6" s="50">
        <v>460.3</v>
      </c>
      <c r="K6" s="50">
        <v>466.1</v>
      </c>
      <c r="L6" s="199">
        <f>SUM(H6:K6)</f>
        <v>1830.1</v>
      </c>
      <c r="M6" s="51">
        <v>467.79999999999995</v>
      </c>
      <c r="N6" s="50">
        <v>1204.5</v>
      </c>
      <c r="O6" s="50">
        <v>1710.7</v>
      </c>
      <c r="P6" s="50">
        <v>1701.7</v>
      </c>
      <c r="Q6" s="199">
        <f>SUM(M6:P6)</f>
        <v>5084.7</v>
      </c>
      <c r="R6" s="50">
        <v>1637.2</v>
      </c>
      <c r="S6" s="50">
        <v>1652</v>
      </c>
      <c r="T6" s="50">
        <v>1643.3</v>
      </c>
      <c r="U6" s="723">
        <v>1620.6</v>
      </c>
      <c r="V6" s="199">
        <v>6553.1</v>
      </c>
      <c r="W6" s="724">
        <v>1565.7</v>
      </c>
      <c r="X6" s="724">
        <v>1586.9</v>
      </c>
      <c r="Y6" s="725">
        <v>1583.7</v>
      </c>
      <c r="Z6" s="723">
        <v>1589</v>
      </c>
      <c r="AA6" s="199">
        <f>SUM(W6:Z6)</f>
        <v>6325.3</v>
      </c>
      <c r="AB6" s="724">
        <v>1542.7</v>
      </c>
      <c r="AC6" s="724">
        <v>1533.3</v>
      </c>
      <c r="AD6" s="725">
        <v>1494</v>
      </c>
      <c r="AE6" s="725">
        <v>1497.9</v>
      </c>
      <c r="AF6" s="199">
        <f>SUM(AB6:AE6)</f>
        <v>6067.9</v>
      </c>
      <c r="AG6" s="724">
        <v>1470.2</v>
      </c>
      <c r="AH6" s="50">
        <v>1483.8</v>
      </c>
      <c r="AI6" s="50">
        <v>1481.7</v>
      </c>
      <c r="AJ6" s="725">
        <v>1484.8</v>
      </c>
      <c r="AK6" s="199">
        <f>SUM(AG6:AJ6)</f>
        <v>5920.5</v>
      </c>
      <c r="AL6" s="726"/>
      <c r="AM6" s="101">
        <v>1352.2</v>
      </c>
      <c r="AN6" s="50">
        <v>1482.1</v>
      </c>
      <c r="AO6" s="50">
        <v>1630.5</v>
      </c>
      <c r="AP6" s="725">
        <v>1627.8000000000002</v>
      </c>
      <c r="AQ6" s="199">
        <f>SUM(AM6:AP6)</f>
        <v>6092.6</v>
      </c>
      <c r="AR6" s="725">
        <v>1606</v>
      </c>
      <c r="AS6" s="50">
        <v>1616.1</v>
      </c>
      <c r="AT6" s="50">
        <v>1618.3</v>
      </c>
      <c r="AU6" s="725">
        <v>1618.4</v>
      </c>
      <c r="AV6" s="199">
        <f>SUM(AR6:AU6)</f>
        <v>6458.7999999999993</v>
      </c>
      <c r="AW6" s="103">
        <v>1606</v>
      </c>
      <c r="AX6" s="50">
        <v>1616.1</v>
      </c>
      <c r="AY6" s="50">
        <v>1618.3</v>
      </c>
      <c r="AZ6" s="725">
        <v>1618.4</v>
      </c>
      <c r="BA6" s="199">
        <f>SUM(AW6:AZ6)</f>
        <v>6458.7999999999993</v>
      </c>
      <c r="BB6" s="103">
        <v>1604.5</v>
      </c>
      <c r="BC6" s="50">
        <v>1592</v>
      </c>
      <c r="BD6" s="50">
        <v>1623.8</v>
      </c>
      <c r="BE6" s="725">
        <v>1660.1</v>
      </c>
      <c r="BF6" s="707">
        <f>SUM(BB6:BE6)</f>
        <v>6480.4</v>
      </c>
      <c r="BG6" s="103">
        <v>1664.1</v>
      </c>
      <c r="BH6" s="50">
        <v>1664.8</v>
      </c>
      <c r="BI6" s="50">
        <v>1707.4</v>
      </c>
      <c r="BJ6" s="725">
        <v>1730.7</v>
      </c>
      <c r="BK6" s="695">
        <f>SUM(BG6:BJ6)</f>
        <v>6766.9999999999991</v>
      </c>
      <c r="BL6" s="103">
        <v>1722.2</v>
      </c>
      <c r="BM6" s="50">
        <v>1725.8</v>
      </c>
      <c r="BN6" s="50">
        <v>1753.3000000000002</v>
      </c>
      <c r="BO6" s="725">
        <f>6952.1-BN6-BM6-BL6</f>
        <v>1750.8</v>
      </c>
      <c r="BP6" s="819">
        <f>SUM(BL6:BO6)</f>
        <v>6952.1</v>
      </c>
      <c r="BQ6" s="850">
        <v>1733.8</v>
      </c>
      <c r="BR6" s="851">
        <v>1734.8</v>
      </c>
      <c r="BS6" s="50">
        <v>1754.8</v>
      </c>
      <c r="BT6" s="50">
        <v>1763.7</v>
      </c>
      <c r="BU6" s="906">
        <f>SUM(BQ6:BT6)</f>
        <v>6987.0999999999995</v>
      </c>
      <c r="BV6" s="850">
        <v>1770.5764554400002</v>
      </c>
      <c r="BW6" s="851">
        <v>1784.4</v>
      </c>
      <c r="BX6" s="50"/>
      <c r="BY6" s="50"/>
      <c r="BZ6" s="906">
        <f>SUM(BV6:BY6)</f>
        <v>3554.9764554400003</v>
      </c>
      <c r="CA6" s="839"/>
      <c r="CB6" s="959"/>
      <c r="CC6" s="840"/>
      <c r="CD6" s="919"/>
      <c r="CE6" s="919"/>
      <c r="CF6" s="919"/>
      <c r="CG6" s="919"/>
      <c r="CH6" s="919"/>
      <c r="CI6" s="919"/>
      <c r="CJ6" s="919"/>
      <c r="CK6" s="919"/>
      <c r="CL6" s="919"/>
      <c r="CM6" s="919"/>
      <c r="CN6" s="919"/>
    </row>
    <row r="7" spans="1:92" ht="20.149999999999999" customHeight="1">
      <c r="A7" s="49" t="s">
        <v>38</v>
      </c>
      <c r="B7" s="112" t="s">
        <v>39</v>
      </c>
      <c r="C7" s="50">
        <v>234.6</v>
      </c>
      <c r="D7" s="50">
        <v>272.7</v>
      </c>
      <c r="E7" s="50">
        <v>198</v>
      </c>
      <c r="F7" s="50">
        <v>286.3</v>
      </c>
      <c r="G7" s="199">
        <f t="shared" ref="G7:G10" si="4">SUM(C7:F7)</f>
        <v>991.59999999999991</v>
      </c>
      <c r="H7" s="51">
        <v>223.8</v>
      </c>
      <c r="I7" s="50">
        <v>265.2</v>
      </c>
      <c r="J7" s="50">
        <v>204</v>
      </c>
      <c r="K7" s="50">
        <v>317.2</v>
      </c>
      <c r="L7" s="199">
        <f t="shared" ref="L7:L10" si="5">SUM(H7:K7)</f>
        <v>1010.2</v>
      </c>
      <c r="M7" s="51">
        <v>242.19999999999993</v>
      </c>
      <c r="N7" s="50">
        <v>479.1</v>
      </c>
      <c r="O7" s="50">
        <v>591.6</v>
      </c>
      <c r="P7" s="50">
        <v>641.1</v>
      </c>
      <c r="Q7" s="199">
        <f t="shared" ref="Q7:Q10" si="6">SUM(M7:P7)</f>
        <v>1954</v>
      </c>
      <c r="R7" s="50">
        <v>553.29999999999995</v>
      </c>
      <c r="S7" s="50">
        <v>688.7</v>
      </c>
      <c r="T7" s="50">
        <v>616.9</v>
      </c>
      <c r="U7" s="52">
        <v>738</v>
      </c>
      <c r="V7" s="199">
        <v>2596.9</v>
      </c>
      <c r="W7" s="724">
        <v>599.79999999999995</v>
      </c>
      <c r="X7" s="724">
        <v>645</v>
      </c>
      <c r="Y7" s="725">
        <v>562.9</v>
      </c>
      <c r="Z7" s="52">
        <v>658.4</v>
      </c>
      <c r="AA7" s="199">
        <f t="shared" ref="AA7:AA34" si="7">SUM(W7:Z7)</f>
        <v>2466.1</v>
      </c>
      <c r="AB7" s="724">
        <v>562.1</v>
      </c>
      <c r="AC7" s="724">
        <v>652.29999999999995</v>
      </c>
      <c r="AD7" s="725">
        <v>588.4</v>
      </c>
      <c r="AE7" s="725">
        <v>735.8</v>
      </c>
      <c r="AF7" s="199">
        <f t="shared" ref="AF7:AF34" si="8">SUM(AB7:AE7)</f>
        <v>2538.6000000000004</v>
      </c>
      <c r="AG7" s="724">
        <v>635.9</v>
      </c>
      <c r="AH7" s="50">
        <v>708.5</v>
      </c>
      <c r="AI7" s="50">
        <v>677.7</v>
      </c>
      <c r="AJ7" s="725">
        <v>860.1</v>
      </c>
      <c r="AK7" s="199">
        <f t="shared" ref="AK7:AK10" si="9">SUM(AG7:AJ7)</f>
        <v>2882.2000000000003</v>
      </c>
      <c r="AL7" s="497"/>
      <c r="AM7" s="101">
        <v>635.9</v>
      </c>
      <c r="AN7" s="50">
        <v>738.5</v>
      </c>
      <c r="AO7" s="50">
        <v>741.6</v>
      </c>
      <c r="AP7" s="725">
        <v>927.80000000000018</v>
      </c>
      <c r="AQ7" s="199">
        <f t="shared" ref="AQ7:AQ10" si="10">SUM(AM7:AP7)</f>
        <v>3043.8</v>
      </c>
      <c r="AR7" s="725">
        <v>772.7</v>
      </c>
      <c r="AS7" s="50">
        <v>861.6</v>
      </c>
      <c r="AT7" s="50">
        <v>790.5</v>
      </c>
      <c r="AU7" s="725">
        <v>925.4</v>
      </c>
      <c r="AV7" s="199">
        <f t="shared" ref="AV7:AV10" si="11">SUM(AR7:AU7)</f>
        <v>3350.2000000000003</v>
      </c>
      <c r="AW7" s="103">
        <v>772.7</v>
      </c>
      <c r="AX7" s="50">
        <v>861.6</v>
      </c>
      <c r="AY7" s="50">
        <v>790.5</v>
      </c>
      <c r="AZ7" s="725">
        <v>925.4</v>
      </c>
      <c r="BA7" s="199">
        <f t="shared" ref="BA7:BA10" si="12">SUM(AW7:AZ7)</f>
        <v>3350.2000000000003</v>
      </c>
      <c r="BB7" s="103">
        <v>823.7</v>
      </c>
      <c r="BC7" s="50">
        <v>802.5</v>
      </c>
      <c r="BD7" s="50">
        <v>856.6</v>
      </c>
      <c r="BE7" s="725">
        <v>1043.9000000000001</v>
      </c>
      <c r="BF7" s="707">
        <f t="shared" ref="BF7:BF10" si="13">SUM(BB7:BE7)</f>
        <v>3526.7000000000003</v>
      </c>
      <c r="BG7" s="103">
        <v>880.7</v>
      </c>
      <c r="BH7" s="50">
        <v>964.2</v>
      </c>
      <c r="BI7" s="50">
        <v>827.1</v>
      </c>
      <c r="BJ7" s="725">
        <v>1006.8</v>
      </c>
      <c r="BK7" s="695">
        <f t="shared" ref="BK7:BK10" si="14">SUM(BG7:BJ7)</f>
        <v>3678.8</v>
      </c>
      <c r="BL7" s="103">
        <v>813.1</v>
      </c>
      <c r="BM7" s="50">
        <v>879.8</v>
      </c>
      <c r="BN7" s="50">
        <v>840.90000000000009</v>
      </c>
      <c r="BO7" s="725">
        <f>3531.7-BN7-BM7-BL7</f>
        <v>997.89999999999975</v>
      </c>
      <c r="BP7" s="819">
        <f t="shared" ref="BP7:BP10" si="15">SUM(BL7:BO7)</f>
        <v>3531.7</v>
      </c>
      <c r="BQ7" s="829">
        <v>792.3</v>
      </c>
      <c r="BR7" s="725">
        <v>859</v>
      </c>
      <c r="BS7" s="50">
        <v>799.3</v>
      </c>
      <c r="BT7" s="50">
        <v>929.3</v>
      </c>
      <c r="BU7" s="906">
        <f>SUM(BQ7:BT7)</f>
        <v>3379.8999999999996</v>
      </c>
      <c r="BV7" s="829">
        <v>749.72161727000037</v>
      </c>
      <c r="BW7" s="725">
        <v>848.2</v>
      </c>
      <c r="BX7" s="50"/>
      <c r="BY7" s="50"/>
      <c r="BZ7" s="906">
        <f>SUM(BV7:BY7)</f>
        <v>1597.9216172700003</v>
      </c>
      <c r="CA7" s="839"/>
      <c r="CB7" s="959"/>
      <c r="CC7" s="840"/>
      <c r="CD7" s="839"/>
      <c r="CE7" s="839"/>
      <c r="CF7" s="410"/>
      <c r="CG7" s="839"/>
      <c r="CH7" s="839"/>
    </row>
    <row r="8" spans="1:92" ht="20.149999999999999" customHeight="1">
      <c r="A8" s="49" t="s">
        <v>40</v>
      </c>
      <c r="B8" s="112" t="s">
        <v>41</v>
      </c>
      <c r="C8" s="50">
        <v>2.7</v>
      </c>
      <c r="D8" s="50">
        <v>6.2</v>
      </c>
      <c r="E8" s="50">
        <v>2.6</v>
      </c>
      <c r="F8" s="50">
        <v>7.2</v>
      </c>
      <c r="G8" s="199">
        <f t="shared" si="4"/>
        <v>18.7</v>
      </c>
      <c r="H8" s="51">
        <v>13.1</v>
      </c>
      <c r="I8" s="50">
        <v>11.8</v>
      </c>
      <c r="J8" s="50">
        <v>7.1</v>
      </c>
      <c r="K8" s="50">
        <v>9.6999999999999993</v>
      </c>
      <c r="L8" s="199">
        <f t="shared" si="5"/>
        <v>41.7</v>
      </c>
      <c r="M8" s="51">
        <v>7.8999999999999986</v>
      </c>
      <c r="N8" s="50">
        <v>55.4</v>
      </c>
      <c r="O8" s="50">
        <v>104.1</v>
      </c>
      <c r="P8" s="50">
        <v>159.9</v>
      </c>
      <c r="Q8" s="199">
        <f t="shared" si="6"/>
        <v>327.29999999999995</v>
      </c>
      <c r="R8" s="50">
        <v>118.4</v>
      </c>
      <c r="S8" s="50">
        <v>106.9</v>
      </c>
      <c r="T8" s="50">
        <v>131.19999999999999</v>
      </c>
      <c r="U8" s="52">
        <v>226.89999999999998</v>
      </c>
      <c r="V8" s="199">
        <v>583.4</v>
      </c>
      <c r="W8" s="724">
        <v>172.8</v>
      </c>
      <c r="X8" s="724">
        <v>191.1</v>
      </c>
      <c r="Y8" s="725">
        <v>221.3</v>
      </c>
      <c r="Z8" s="52">
        <v>265.60000000000002</v>
      </c>
      <c r="AA8" s="199">
        <f t="shared" si="7"/>
        <v>850.80000000000007</v>
      </c>
      <c r="AB8" s="724">
        <v>248.6</v>
      </c>
      <c r="AC8" s="724">
        <v>243.3</v>
      </c>
      <c r="AD8" s="725">
        <v>264.5</v>
      </c>
      <c r="AE8" s="725">
        <v>298.8</v>
      </c>
      <c r="AF8" s="199">
        <f t="shared" si="8"/>
        <v>1055.2</v>
      </c>
      <c r="AG8" s="724">
        <v>208.6</v>
      </c>
      <c r="AH8" s="50">
        <v>239</v>
      </c>
      <c r="AI8" s="50">
        <v>237.6</v>
      </c>
      <c r="AJ8" s="725">
        <v>286.2</v>
      </c>
      <c r="AK8" s="199">
        <f t="shared" si="9"/>
        <v>971.40000000000009</v>
      </c>
      <c r="AL8" s="497"/>
      <c r="AM8" s="101">
        <v>317.5</v>
      </c>
      <c r="AN8" s="50">
        <v>341.7</v>
      </c>
      <c r="AO8" s="50">
        <v>328.6</v>
      </c>
      <c r="AP8" s="725">
        <v>398.20000000000005</v>
      </c>
      <c r="AQ8" s="199">
        <f t="shared" si="10"/>
        <v>1386</v>
      </c>
      <c r="AR8" s="725">
        <v>347.4</v>
      </c>
      <c r="AS8" s="50">
        <v>379.3</v>
      </c>
      <c r="AT8" s="50">
        <v>412.9</v>
      </c>
      <c r="AU8" s="725">
        <v>445.4</v>
      </c>
      <c r="AV8" s="199">
        <f t="shared" si="11"/>
        <v>1585</v>
      </c>
      <c r="AW8" s="103">
        <v>347.4</v>
      </c>
      <c r="AX8" s="50">
        <v>379.3</v>
      </c>
      <c r="AY8" s="50">
        <v>412.9</v>
      </c>
      <c r="AZ8" s="725">
        <v>445.4</v>
      </c>
      <c r="BA8" s="199">
        <f t="shared" si="12"/>
        <v>1585</v>
      </c>
      <c r="BB8" s="103">
        <v>345.7</v>
      </c>
      <c r="BC8" s="50">
        <v>392.9</v>
      </c>
      <c r="BD8" s="50">
        <v>433.7</v>
      </c>
      <c r="BE8" s="725">
        <v>424.4</v>
      </c>
      <c r="BF8" s="707">
        <f t="shared" si="13"/>
        <v>1596.6999999999998</v>
      </c>
      <c r="BG8" s="103">
        <v>332.7</v>
      </c>
      <c r="BH8" s="50">
        <v>350.4</v>
      </c>
      <c r="BI8" s="50">
        <v>359.1</v>
      </c>
      <c r="BJ8" s="725">
        <v>408.1</v>
      </c>
      <c r="BK8" s="695">
        <f t="shared" si="14"/>
        <v>1450.2999999999997</v>
      </c>
      <c r="BL8" s="103">
        <v>336.5</v>
      </c>
      <c r="BM8" s="50">
        <v>450.5</v>
      </c>
      <c r="BN8" s="50">
        <v>472.70000000000005</v>
      </c>
      <c r="BO8" s="725">
        <f>1805.1-BN8-BM8-BL8</f>
        <v>545.39999999999986</v>
      </c>
      <c r="BP8" s="819">
        <f t="shared" si="15"/>
        <v>1805.1</v>
      </c>
      <c r="BQ8" s="829">
        <v>484.9</v>
      </c>
      <c r="BR8" s="725">
        <v>483.6</v>
      </c>
      <c r="BS8" s="50">
        <v>446.5</v>
      </c>
      <c r="BT8" s="50">
        <v>506.7</v>
      </c>
      <c r="BU8" s="906">
        <f>SUM(BQ8:BT8)</f>
        <v>1921.7</v>
      </c>
      <c r="BV8" s="829">
        <v>425.94365038999973</v>
      </c>
      <c r="BW8" s="725">
        <v>432.8</v>
      </c>
      <c r="BX8" s="50"/>
      <c r="BY8" s="50"/>
      <c r="BZ8" s="906">
        <f>SUM(BV8:BY8)</f>
        <v>858.74365038999974</v>
      </c>
      <c r="CA8" s="839"/>
      <c r="CB8" s="959"/>
      <c r="CC8" s="840"/>
      <c r="CD8" s="839"/>
      <c r="CE8" s="839"/>
      <c r="CF8" s="410"/>
      <c r="CG8" s="839"/>
      <c r="CH8" s="839"/>
    </row>
    <row r="9" spans="1:92" ht="20.149999999999999" customHeight="1">
      <c r="A9" s="49" t="s">
        <v>42</v>
      </c>
      <c r="B9" s="112" t="s">
        <v>43</v>
      </c>
      <c r="C9" s="50"/>
      <c r="D9" s="50"/>
      <c r="E9" s="50"/>
      <c r="F9" s="50"/>
      <c r="G9" s="199"/>
      <c r="H9" s="51"/>
      <c r="I9" s="50"/>
      <c r="J9" s="50"/>
      <c r="K9" s="50"/>
      <c r="L9" s="199"/>
      <c r="M9" s="51"/>
      <c r="N9" s="50"/>
      <c r="O9" s="50"/>
      <c r="P9" s="50"/>
      <c r="Q9" s="199"/>
      <c r="R9" s="50"/>
      <c r="S9" s="50"/>
      <c r="T9" s="50"/>
      <c r="U9" s="52"/>
      <c r="V9" s="199"/>
      <c r="W9" s="724"/>
      <c r="X9" s="724"/>
      <c r="Y9" s="725"/>
      <c r="Z9" s="52"/>
      <c r="AA9" s="199"/>
      <c r="AB9" s="724"/>
      <c r="AC9" s="724"/>
      <c r="AD9" s="725"/>
      <c r="AE9" s="725"/>
      <c r="AF9" s="199"/>
      <c r="AG9" s="724"/>
      <c r="AH9" s="50"/>
      <c r="AI9" s="50"/>
      <c r="AJ9" s="725"/>
      <c r="AK9" s="199"/>
      <c r="AL9" s="497"/>
      <c r="AM9" s="101"/>
      <c r="AN9" s="50"/>
      <c r="AO9" s="50"/>
      <c r="AP9" s="725"/>
      <c r="AQ9" s="199"/>
      <c r="AR9" s="725"/>
      <c r="AS9" s="50"/>
      <c r="AT9" s="50"/>
      <c r="AU9" s="725"/>
      <c r="AV9" s="199"/>
      <c r="AW9" s="103"/>
      <c r="AX9" s="50"/>
      <c r="AY9" s="50"/>
      <c r="AZ9" s="725"/>
      <c r="BA9" s="199"/>
      <c r="BB9" s="103"/>
      <c r="BC9" s="50"/>
      <c r="BD9" s="50"/>
      <c r="BE9" s="725"/>
      <c r="BF9" s="707"/>
      <c r="BG9" s="103"/>
      <c r="BH9" s="50"/>
      <c r="BI9" s="50"/>
      <c r="BJ9" s="725"/>
      <c r="BK9" s="695"/>
      <c r="BL9" s="103"/>
      <c r="BM9" s="50"/>
      <c r="BN9" s="50"/>
      <c r="BO9" s="725"/>
      <c r="BP9" s="819"/>
      <c r="BQ9" s="829"/>
      <c r="BR9" s="725"/>
      <c r="BS9" s="50">
        <v>272</v>
      </c>
      <c r="BT9" s="50">
        <v>285.60000000000002</v>
      </c>
      <c r="BU9" s="906">
        <f>SUM(BQ9:BT9)</f>
        <v>557.6</v>
      </c>
      <c r="BV9" s="829">
        <v>281.85690662000002</v>
      </c>
      <c r="BW9" s="725">
        <v>249</v>
      </c>
      <c r="BX9" s="50"/>
      <c r="BY9" s="50"/>
      <c r="BZ9" s="906">
        <f>SUM(BV9:BY9)</f>
        <v>530.85690662000002</v>
      </c>
      <c r="CA9" s="839"/>
      <c r="CB9" s="959"/>
      <c r="CC9" s="840"/>
      <c r="CD9" s="839"/>
      <c r="CE9" s="839"/>
      <c r="CF9" s="410"/>
      <c r="CG9" s="839"/>
      <c r="CH9" s="839"/>
    </row>
    <row r="10" spans="1:92" ht="20.149999999999999" customHeight="1">
      <c r="A10" s="49" t="s">
        <v>44</v>
      </c>
      <c r="B10" s="112" t="s">
        <v>45</v>
      </c>
      <c r="C10" s="50">
        <v>7.9</v>
      </c>
      <c r="D10" s="50">
        <v>7.8</v>
      </c>
      <c r="E10" s="50">
        <v>9.5</v>
      </c>
      <c r="F10" s="50">
        <v>10.5</v>
      </c>
      <c r="G10" s="199">
        <f t="shared" si="4"/>
        <v>35.700000000000003</v>
      </c>
      <c r="H10" s="51">
        <v>8.5</v>
      </c>
      <c r="I10" s="50">
        <v>6.9</v>
      </c>
      <c r="J10" s="50">
        <v>5.9</v>
      </c>
      <c r="K10" s="50">
        <v>7.5</v>
      </c>
      <c r="L10" s="199">
        <f t="shared" si="5"/>
        <v>28.8</v>
      </c>
      <c r="M10" s="51">
        <v>5.4</v>
      </c>
      <c r="N10" s="50">
        <v>6.9</v>
      </c>
      <c r="O10" s="50">
        <v>13.2</v>
      </c>
      <c r="P10" s="50">
        <v>18.399999999999999</v>
      </c>
      <c r="Q10" s="199">
        <f t="shared" si="6"/>
        <v>43.9</v>
      </c>
      <c r="R10" s="50">
        <v>20.100000000000001</v>
      </c>
      <c r="S10" s="50">
        <v>21.6</v>
      </c>
      <c r="T10" s="50">
        <v>23.5</v>
      </c>
      <c r="U10" s="52">
        <v>24.399999999999991</v>
      </c>
      <c r="V10" s="199">
        <v>89.6</v>
      </c>
      <c r="W10" s="724">
        <v>25.7</v>
      </c>
      <c r="X10" s="724">
        <v>19.899999999999999</v>
      </c>
      <c r="Y10" s="725">
        <v>19.899999999999999</v>
      </c>
      <c r="Z10" s="52">
        <v>22.1</v>
      </c>
      <c r="AA10" s="199">
        <f t="shared" si="7"/>
        <v>87.6</v>
      </c>
      <c r="AB10" s="724">
        <v>35.200000000000003</v>
      </c>
      <c r="AC10" s="724">
        <v>41</v>
      </c>
      <c r="AD10" s="725">
        <v>44</v>
      </c>
      <c r="AE10" s="725">
        <v>46.7</v>
      </c>
      <c r="AF10" s="199">
        <f t="shared" si="8"/>
        <v>166.9</v>
      </c>
      <c r="AG10" s="724">
        <v>46</v>
      </c>
      <c r="AH10" s="50">
        <f>45.6</f>
        <v>45.6</v>
      </c>
      <c r="AI10" s="50">
        <v>38.4</v>
      </c>
      <c r="AJ10" s="725">
        <v>50.9</v>
      </c>
      <c r="AK10" s="199">
        <f t="shared" si="9"/>
        <v>180.9</v>
      </c>
      <c r="AL10" s="497"/>
      <c r="AM10" s="101">
        <v>40.299999999999997</v>
      </c>
      <c r="AN10" s="50">
        <v>40.9</v>
      </c>
      <c r="AO10" s="50">
        <v>34.299999999999997</v>
      </c>
      <c r="AP10" s="725">
        <v>48.199999999999989</v>
      </c>
      <c r="AQ10" s="199">
        <f t="shared" si="10"/>
        <v>163.69999999999999</v>
      </c>
      <c r="AR10" s="725">
        <v>56.3</v>
      </c>
      <c r="AS10" s="50">
        <v>56</v>
      </c>
      <c r="AT10" s="50">
        <v>60.6</v>
      </c>
      <c r="AU10" s="725">
        <v>69.8</v>
      </c>
      <c r="AV10" s="199">
        <f t="shared" si="11"/>
        <v>242.7</v>
      </c>
      <c r="AW10" s="103">
        <v>65.5</v>
      </c>
      <c r="AX10" s="50">
        <v>66</v>
      </c>
      <c r="AY10" s="50">
        <v>70.7</v>
      </c>
      <c r="AZ10" s="725">
        <v>79.900000000000006</v>
      </c>
      <c r="BA10" s="199">
        <f t="shared" si="12"/>
        <v>282.10000000000002</v>
      </c>
      <c r="BB10" s="103">
        <v>74.599999999999994</v>
      </c>
      <c r="BC10" s="50">
        <v>75.3</v>
      </c>
      <c r="BD10" s="54">
        <v>89.4</v>
      </c>
      <c r="BE10" s="725">
        <v>119.8</v>
      </c>
      <c r="BF10" s="707">
        <f t="shared" si="13"/>
        <v>359.09999999999997</v>
      </c>
      <c r="BG10" s="103">
        <v>109.9</v>
      </c>
      <c r="BH10" s="50">
        <v>180.3</v>
      </c>
      <c r="BI10" s="54">
        <v>138.30000000000001</v>
      </c>
      <c r="BJ10" s="725">
        <v>119.4</v>
      </c>
      <c r="BK10" s="695">
        <f t="shared" si="14"/>
        <v>547.90000000000009</v>
      </c>
      <c r="BL10" s="103">
        <v>114.9</v>
      </c>
      <c r="BM10" s="50">
        <v>172</v>
      </c>
      <c r="BN10" s="54">
        <v>204</v>
      </c>
      <c r="BO10" s="725">
        <f>626.4-BN10-BM10-BL10</f>
        <v>135.49999999999997</v>
      </c>
      <c r="BP10" s="819">
        <f t="shared" si="15"/>
        <v>626.4</v>
      </c>
      <c r="BQ10" s="852">
        <v>188.3</v>
      </c>
      <c r="BR10" s="853">
        <v>212.4</v>
      </c>
      <c r="BS10" s="50">
        <v>183.1</v>
      </c>
      <c r="BT10" s="50">
        <v>196.2</v>
      </c>
      <c r="BU10" s="906">
        <f>SUM(BQ10:BT10)</f>
        <v>780</v>
      </c>
      <c r="BV10" s="852">
        <v>176.9</v>
      </c>
      <c r="BW10" s="853">
        <v>139.9</v>
      </c>
      <c r="BX10" s="50"/>
      <c r="BY10" s="50"/>
      <c r="BZ10" s="906">
        <f>SUM(BV10:BY10)</f>
        <v>316.8</v>
      </c>
      <c r="CA10" s="839"/>
      <c r="CB10" s="959"/>
      <c r="CC10" s="840"/>
      <c r="CD10" s="839"/>
      <c r="CE10" s="839"/>
      <c r="CF10" s="410"/>
      <c r="CG10" s="839"/>
      <c r="CH10" s="839"/>
    </row>
    <row r="11" spans="1:92" s="727" customFormat="1" ht="22.5" customHeight="1">
      <c r="A11" s="737" t="s">
        <v>46</v>
      </c>
      <c r="B11" s="738" t="s">
        <v>47</v>
      </c>
      <c r="C11" s="739">
        <f t="shared" ref="C11:AK11" si="16">SUM(C12:C21)</f>
        <v>-464.5</v>
      </c>
      <c r="D11" s="739">
        <f t="shared" si="16"/>
        <v>-499.7</v>
      </c>
      <c r="E11" s="739">
        <f t="shared" si="16"/>
        <v>-444.9</v>
      </c>
      <c r="F11" s="739">
        <f t="shared" si="16"/>
        <v>-562.4</v>
      </c>
      <c r="G11" s="740">
        <f t="shared" si="16"/>
        <v>-1971.5000000000002</v>
      </c>
      <c r="H11" s="741">
        <f t="shared" si="16"/>
        <v>-512.92000000000007</v>
      </c>
      <c r="I11" s="739">
        <f t="shared" si="16"/>
        <v>-542.4</v>
      </c>
      <c r="J11" s="739">
        <f t="shared" si="16"/>
        <v>-510.7</v>
      </c>
      <c r="K11" s="739">
        <f t="shared" si="16"/>
        <v>-591.70000000000005</v>
      </c>
      <c r="L11" s="740">
        <f t="shared" si="16"/>
        <v>-2157.7199999999998</v>
      </c>
      <c r="M11" s="741">
        <f t="shared" si="16"/>
        <v>-507.40000000000003</v>
      </c>
      <c r="N11" s="739">
        <f t="shared" si="16"/>
        <v>-1351.8000000000002</v>
      </c>
      <c r="O11" s="739">
        <f t="shared" si="16"/>
        <v>-1992.5000000000002</v>
      </c>
      <c r="P11" s="739">
        <f t="shared" si="16"/>
        <v>-2125.3999999999996</v>
      </c>
      <c r="Q11" s="740">
        <f t="shared" si="16"/>
        <v>-5977.1</v>
      </c>
      <c r="R11" s="739">
        <f t="shared" si="16"/>
        <v>-1909</v>
      </c>
      <c r="S11" s="739">
        <f t="shared" si="16"/>
        <v>-1899.4999999999998</v>
      </c>
      <c r="T11" s="739">
        <f t="shared" si="16"/>
        <v>-1900.1</v>
      </c>
      <c r="U11" s="739">
        <f t="shared" si="16"/>
        <v>-2159.2999999999997</v>
      </c>
      <c r="V11" s="740">
        <f t="shared" si="16"/>
        <v>-7867.9000000000005</v>
      </c>
      <c r="W11" s="739">
        <f t="shared" si="16"/>
        <v>-1948</v>
      </c>
      <c r="X11" s="739">
        <f t="shared" si="16"/>
        <v>-2042</v>
      </c>
      <c r="Y11" s="742">
        <f t="shared" si="16"/>
        <v>-1938.6999999999998</v>
      </c>
      <c r="Z11" s="742">
        <f t="shared" si="16"/>
        <v>-2140.6</v>
      </c>
      <c r="AA11" s="740">
        <f t="shared" si="16"/>
        <v>-8069.2999999999993</v>
      </c>
      <c r="AB11" s="739">
        <f t="shared" si="16"/>
        <v>-1938.1999999999996</v>
      </c>
      <c r="AC11" s="739">
        <f t="shared" si="16"/>
        <v>-1962.8000000000002</v>
      </c>
      <c r="AD11" s="739">
        <f t="shared" si="16"/>
        <v>-1975.7</v>
      </c>
      <c r="AE11" s="739">
        <f t="shared" si="16"/>
        <v>-2139.1999999999998</v>
      </c>
      <c r="AF11" s="740">
        <f t="shared" si="16"/>
        <v>-8015.9</v>
      </c>
      <c r="AG11" s="739">
        <f t="shared" si="16"/>
        <v>-1903.1000000000001</v>
      </c>
      <c r="AH11" s="739">
        <f t="shared" si="16"/>
        <v>-1986.5000000000002</v>
      </c>
      <c r="AI11" s="739">
        <f t="shared" si="16"/>
        <v>-2044</v>
      </c>
      <c r="AJ11" s="739">
        <f t="shared" si="16"/>
        <v>-2266</v>
      </c>
      <c r="AK11" s="740">
        <f t="shared" si="16"/>
        <v>-8199.6</v>
      </c>
      <c r="AL11" s="743"/>
      <c r="AM11" s="741">
        <f t="shared" ref="AM11:BO11" si="17">SUM(AM12:AM21)</f>
        <v>-1917.1000000000001</v>
      </c>
      <c r="AN11" s="739">
        <f t="shared" si="17"/>
        <v>-2127</v>
      </c>
      <c r="AO11" s="739">
        <f t="shared" si="17"/>
        <v>-2345.8000000000002</v>
      </c>
      <c r="AP11" s="739">
        <f t="shared" si="17"/>
        <v>-2588.9</v>
      </c>
      <c r="AQ11" s="740">
        <f t="shared" si="17"/>
        <v>-8978.7999999999993</v>
      </c>
      <c r="AR11" s="741">
        <f t="shared" si="17"/>
        <v>-2317.1</v>
      </c>
      <c r="AS11" s="739">
        <f t="shared" si="17"/>
        <v>-2404.4</v>
      </c>
      <c r="AT11" s="739">
        <f t="shared" si="17"/>
        <v>-2433.0000000000005</v>
      </c>
      <c r="AU11" s="739">
        <f t="shared" si="17"/>
        <v>-2592.9999999999995</v>
      </c>
      <c r="AV11" s="740">
        <f t="shared" si="17"/>
        <v>-9747.4999999999982</v>
      </c>
      <c r="AW11" s="741">
        <f t="shared" si="17"/>
        <v>-2317.0000000000005</v>
      </c>
      <c r="AX11" s="739">
        <f t="shared" si="17"/>
        <v>-2407.2000000000003</v>
      </c>
      <c r="AY11" s="739">
        <f t="shared" si="17"/>
        <v>-2436.8000000000002</v>
      </c>
      <c r="AZ11" s="739">
        <f t="shared" si="17"/>
        <v>-2593.8000000000002</v>
      </c>
      <c r="BA11" s="740">
        <f t="shared" si="17"/>
        <v>-9754.7999999999993</v>
      </c>
      <c r="BB11" s="741">
        <f t="shared" si="17"/>
        <v>-2392.1111734799997</v>
      </c>
      <c r="BC11" s="739">
        <f t="shared" si="17"/>
        <v>-2455.5999999999995</v>
      </c>
      <c r="BD11" s="739">
        <f t="shared" si="17"/>
        <v>-2494.8000000000002</v>
      </c>
      <c r="BE11" s="739">
        <f t="shared" si="17"/>
        <v>-2731.3</v>
      </c>
      <c r="BF11" s="744">
        <f t="shared" si="17"/>
        <v>-10073.81117348</v>
      </c>
      <c r="BG11" s="741">
        <f t="shared" si="17"/>
        <v>-2430.9</v>
      </c>
      <c r="BH11" s="739">
        <f t="shared" si="17"/>
        <v>-2468.1000000000004</v>
      </c>
      <c r="BI11" s="739">
        <f t="shared" si="17"/>
        <v>-2595.9</v>
      </c>
      <c r="BJ11" s="739">
        <f t="shared" si="17"/>
        <v>-2810.6000000000004</v>
      </c>
      <c r="BK11" s="744">
        <f t="shared" si="17"/>
        <v>-10305.5</v>
      </c>
      <c r="BL11" s="741">
        <f t="shared" si="17"/>
        <v>-2633.7000000000003</v>
      </c>
      <c r="BM11" s="739">
        <f t="shared" si="17"/>
        <v>-2815.4</v>
      </c>
      <c r="BN11" s="739">
        <f t="shared" si="17"/>
        <v>-2877.2999999999997</v>
      </c>
      <c r="BO11" s="739">
        <f t="shared" si="17"/>
        <v>-3073.4000000000005</v>
      </c>
      <c r="BP11" s="820">
        <f>SUM(BP12:BP21)</f>
        <v>-11399.8</v>
      </c>
      <c r="BQ11" s="830">
        <f>SUM(BQ12:BQ21)</f>
        <v>-2891.8999999999996</v>
      </c>
      <c r="BR11" s="739">
        <f t="shared" ref="BR11" si="18">SUM(BR12:BR21)</f>
        <v>-2945</v>
      </c>
      <c r="BS11" s="739">
        <f>SUM(BS12:BS17,BS19:BS21)</f>
        <v>-3165.1999999999994</v>
      </c>
      <c r="BT11" s="739">
        <f>SUM(BT12:BT17,BT19:BT21)</f>
        <v>-3486.6999999999994</v>
      </c>
      <c r="BU11" s="907">
        <f>SUM(BU12:BU17,BU19:BU21)</f>
        <v>-12488.8</v>
      </c>
      <c r="BV11" s="739">
        <f>SUM(BV12:BV17,BV19:BV21)</f>
        <v>-3116.2999999999997</v>
      </c>
      <c r="BW11" s="739">
        <f>SUM(BW12:BW17,BW19:BW21)</f>
        <v>-3085.8</v>
      </c>
      <c r="BX11" s="739"/>
      <c r="BY11" s="739"/>
      <c r="BZ11" s="907">
        <f>SUM(BZ12:BZ17,BZ19:BZ21)</f>
        <v>-6202.0999999999995</v>
      </c>
      <c r="CA11" s="839"/>
      <c r="CB11" s="959"/>
      <c r="CC11" s="840"/>
      <c r="CD11" s="839"/>
      <c r="CE11" s="839"/>
      <c r="CF11" s="410"/>
      <c r="CG11" s="839"/>
      <c r="CH11" s="839"/>
    </row>
    <row r="12" spans="1:92" ht="30" customHeight="1">
      <c r="A12" s="49" t="s">
        <v>48</v>
      </c>
      <c r="B12" s="113" t="s">
        <v>49</v>
      </c>
      <c r="C12" s="54">
        <v>-49.7</v>
      </c>
      <c r="D12" s="54">
        <v>-55.1</v>
      </c>
      <c r="E12" s="54">
        <v>-58.6</v>
      </c>
      <c r="F12" s="54">
        <v>-59.3</v>
      </c>
      <c r="G12" s="200">
        <f>SUM(C12:F12)</f>
        <v>-222.7</v>
      </c>
      <c r="H12" s="55">
        <v>-60.7</v>
      </c>
      <c r="I12" s="54">
        <v>-62</v>
      </c>
      <c r="J12" s="54">
        <v>-62.2</v>
      </c>
      <c r="K12" s="54">
        <v>-71.400000000000006</v>
      </c>
      <c r="L12" s="200">
        <f>SUM(H12:K12)</f>
        <v>-256.3</v>
      </c>
      <c r="M12" s="55">
        <v>-71.300000000000011</v>
      </c>
      <c r="N12" s="54">
        <v>-288</v>
      </c>
      <c r="O12" s="54">
        <v>-495.9</v>
      </c>
      <c r="P12" s="54">
        <v>-557.20000000000005</v>
      </c>
      <c r="Q12" s="200">
        <f>SUM(M12:P12)</f>
        <v>-1412.4</v>
      </c>
      <c r="R12" s="54">
        <v>-482.3</v>
      </c>
      <c r="S12" s="54">
        <v>-522.4</v>
      </c>
      <c r="T12" s="54">
        <v>-551.20000000000005</v>
      </c>
      <c r="U12" s="52">
        <v>-585.09999999999991</v>
      </c>
      <c r="V12" s="200">
        <v>-2141</v>
      </c>
      <c r="W12" s="56">
        <v>-550.29999999999995</v>
      </c>
      <c r="X12" s="56">
        <v>-456.6</v>
      </c>
      <c r="Y12" s="36">
        <v>-459.2</v>
      </c>
      <c r="Z12" s="52">
        <v>-472.6</v>
      </c>
      <c r="AA12" s="200">
        <f>SUM(W12:Z12)</f>
        <v>-1938.6999999999998</v>
      </c>
      <c r="AB12" s="56">
        <v>-468.2</v>
      </c>
      <c r="AC12" s="56">
        <v>-483.5</v>
      </c>
      <c r="AD12" s="36">
        <v>-528.5</v>
      </c>
      <c r="AE12" s="36">
        <v>-533.79999999999995</v>
      </c>
      <c r="AF12" s="200">
        <f t="shared" si="8"/>
        <v>-2014</v>
      </c>
      <c r="AG12" s="56">
        <v>-504.5</v>
      </c>
      <c r="AH12" s="54">
        <v>-521.1</v>
      </c>
      <c r="AI12" s="54">
        <v>-550.29999999999995</v>
      </c>
      <c r="AJ12" s="36">
        <v>-560.1</v>
      </c>
      <c r="AK12" s="200">
        <f t="shared" ref="AK12:AK24" si="19">SUM(AG12:AJ12)</f>
        <v>-2136</v>
      </c>
      <c r="AL12" s="497"/>
      <c r="AM12" s="102">
        <v>-504.5</v>
      </c>
      <c r="AN12" s="54">
        <v>-578.5</v>
      </c>
      <c r="AO12" s="54">
        <v>-674.8</v>
      </c>
      <c r="AP12" s="36">
        <v>-691.10000000000014</v>
      </c>
      <c r="AQ12" s="200">
        <f t="shared" ref="AQ12:AQ24" si="20">SUM(AM12:AP12)</f>
        <v>-2448.9</v>
      </c>
      <c r="AR12" s="102">
        <v>-651.29999999999995</v>
      </c>
      <c r="AS12" s="54">
        <v>-678.4</v>
      </c>
      <c r="AT12" s="54">
        <v>-664.1</v>
      </c>
      <c r="AU12" s="36">
        <v>-670.2</v>
      </c>
      <c r="AV12" s="200">
        <f t="shared" ref="AV12:AV24" si="21">SUM(AR12:AU12)</f>
        <v>-2664</v>
      </c>
      <c r="AW12" s="102">
        <v>-563.79999999999995</v>
      </c>
      <c r="AX12" s="54">
        <v>-591.4</v>
      </c>
      <c r="AY12" s="54">
        <v>-575.79999999999995</v>
      </c>
      <c r="AZ12" s="36">
        <v>-580.29999999999995</v>
      </c>
      <c r="BA12" s="200">
        <f t="shared" ref="BA12:BA24" si="22">SUM(AW12:AZ12)</f>
        <v>-2311.2999999999997</v>
      </c>
      <c r="BB12" s="102">
        <v>-600.79999999999995</v>
      </c>
      <c r="BC12" s="54">
        <v>-636.1</v>
      </c>
      <c r="BD12" s="54">
        <v>-609</v>
      </c>
      <c r="BE12" s="36">
        <v>-615</v>
      </c>
      <c r="BF12" s="708">
        <f t="shared" ref="BF12:BF24" si="23">SUM(BB12:BE12)</f>
        <v>-2460.9</v>
      </c>
      <c r="BG12" s="102">
        <v>-624.70000000000005</v>
      </c>
      <c r="BH12" s="54">
        <v>-633</v>
      </c>
      <c r="BI12" s="54">
        <v>-790.3</v>
      </c>
      <c r="BJ12" s="36">
        <v>-801.7</v>
      </c>
      <c r="BK12" s="693">
        <f t="shared" ref="BK12:BK23" si="24">SUM(BG12:BJ12)</f>
        <v>-2849.7</v>
      </c>
      <c r="BL12" s="102">
        <v>-809.5</v>
      </c>
      <c r="BM12" s="54">
        <f>-808</f>
        <v>-808</v>
      </c>
      <c r="BN12" s="54">
        <v>-823.19999999999982</v>
      </c>
      <c r="BO12" s="36">
        <f>-3271.5-BN12-BM12-BL12</f>
        <v>-830.80000000000018</v>
      </c>
      <c r="BP12" s="819">
        <f t="shared" ref="BP12:BP23" si="25">SUM(BL12:BO12)</f>
        <v>-3271.5</v>
      </c>
      <c r="BQ12" s="831">
        <v>-808.6</v>
      </c>
      <c r="BR12" s="54">
        <v>-823.9</v>
      </c>
      <c r="BS12" s="54">
        <v>-838.1</v>
      </c>
      <c r="BT12" s="54">
        <v>-862.1</v>
      </c>
      <c r="BU12" s="906">
        <f t="shared" ref="BU12:BU17" si="26">SUM(BQ12:BT12)</f>
        <v>-3332.7</v>
      </c>
      <c r="BV12" s="831">
        <v>-802.6</v>
      </c>
      <c r="BW12" s="54">
        <v>-820.1</v>
      </c>
      <c r="BX12" s="54"/>
      <c r="BY12" s="54"/>
      <c r="BZ12" s="906">
        <f t="shared" ref="BZ12:BZ17" si="27">SUM(BV12:BY12)</f>
        <v>-1622.7</v>
      </c>
      <c r="CA12" s="839"/>
      <c r="CB12" s="959"/>
      <c r="CC12" s="840"/>
      <c r="CD12" s="839"/>
      <c r="CE12" s="839"/>
      <c r="CF12" s="410"/>
      <c r="CG12" s="839"/>
      <c r="CH12" s="839"/>
    </row>
    <row r="13" spans="1:92" ht="18.75" customHeight="1">
      <c r="A13" s="49" t="s">
        <v>50</v>
      </c>
      <c r="B13" s="112" t="s">
        <v>51</v>
      </c>
      <c r="C13" s="54">
        <v>-54.4</v>
      </c>
      <c r="D13" s="54">
        <v>-56.7</v>
      </c>
      <c r="E13" s="54">
        <v>-60.2</v>
      </c>
      <c r="F13" s="54">
        <v>-71.7</v>
      </c>
      <c r="G13" s="200">
        <f>SUM(C13:F13)</f>
        <v>-243</v>
      </c>
      <c r="H13" s="55">
        <v>-60.7</v>
      </c>
      <c r="I13" s="54">
        <v>-62.3</v>
      </c>
      <c r="J13" s="54">
        <v>-64.8</v>
      </c>
      <c r="K13" s="54">
        <v>-68.599999999999994</v>
      </c>
      <c r="L13" s="200">
        <f>SUM(H13:K13)</f>
        <v>-256.39999999999998</v>
      </c>
      <c r="M13" s="55">
        <v>-62.5</v>
      </c>
      <c r="N13" s="54">
        <v>-311.3</v>
      </c>
      <c r="O13" s="54">
        <v>-478.3</v>
      </c>
      <c r="P13" s="54">
        <v>-443.8</v>
      </c>
      <c r="Q13" s="200">
        <f>SUM(M13:P13)</f>
        <v>-1295.9000000000001</v>
      </c>
      <c r="R13" s="54">
        <v>-467.9</v>
      </c>
      <c r="S13" s="54">
        <v>-393.5</v>
      </c>
      <c r="T13" s="54">
        <v>-401.2</v>
      </c>
      <c r="U13" s="52">
        <v>-436.70000000000005</v>
      </c>
      <c r="V13" s="200">
        <v>-1699.3</v>
      </c>
      <c r="W13" s="56">
        <v>-423.7</v>
      </c>
      <c r="X13" s="56">
        <v>-527.5</v>
      </c>
      <c r="Y13" s="36">
        <v>-507.9</v>
      </c>
      <c r="Z13" s="52">
        <v>-512.4</v>
      </c>
      <c r="AA13" s="200">
        <f>SUM(W13:Z13)</f>
        <v>-1971.5</v>
      </c>
      <c r="AB13" s="56">
        <v>-472.3</v>
      </c>
      <c r="AC13" s="56">
        <v>-446.7</v>
      </c>
      <c r="AD13" s="36">
        <v>-429.2</v>
      </c>
      <c r="AE13" s="36">
        <v>-434.8</v>
      </c>
      <c r="AF13" s="200">
        <f t="shared" si="8"/>
        <v>-1783</v>
      </c>
      <c r="AG13" s="56">
        <v>-454.5</v>
      </c>
      <c r="AH13" s="54">
        <v>-439.1</v>
      </c>
      <c r="AI13" s="54">
        <v>-452.5</v>
      </c>
      <c r="AJ13" s="36">
        <v>-430.6</v>
      </c>
      <c r="AK13" s="200">
        <f t="shared" si="19"/>
        <v>-1776.6999999999998</v>
      </c>
      <c r="AL13" s="497"/>
      <c r="AM13" s="102">
        <v>-454.5</v>
      </c>
      <c r="AN13" s="54">
        <v>-470.8</v>
      </c>
      <c r="AO13" s="54">
        <v>-523.5</v>
      </c>
      <c r="AP13" s="36">
        <v>-521.90000000000009</v>
      </c>
      <c r="AQ13" s="200">
        <f t="shared" si="20"/>
        <v>-1970.7</v>
      </c>
      <c r="AR13" s="102">
        <v>-440.1</v>
      </c>
      <c r="AS13" s="54">
        <v>-444.6</v>
      </c>
      <c r="AT13" s="54">
        <v>-448.5</v>
      </c>
      <c r="AU13" s="36">
        <v>-453.2</v>
      </c>
      <c r="AV13" s="200">
        <f t="shared" si="21"/>
        <v>-1786.4</v>
      </c>
      <c r="AW13" s="102">
        <v>-547.1</v>
      </c>
      <c r="AX13" s="54">
        <v>-553.6</v>
      </c>
      <c r="AY13" s="54">
        <v>-561.5</v>
      </c>
      <c r="AZ13" s="36">
        <v>-567.5</v>
      </c>
      <c r="BA13" s="200">
        <f t="shared" si="22"/>
        <v>-2229.6999999999998</v>
      </c>
      <c r="BB13" s="102">
        <v>-564.5</v>
      </c>
      <c r="BC13" s="54">
        <v>-565.9</v>
      </c>
      <c r="BD13" s="54">
        <v>-573</v>
      </c>
      <c r="BE13" s="36">
        <v>-602.29999999999995</v>
      </c>
      <c r="BF13" s="708">
        <f t="shared" si="23"/>
        <v>-2305.6999999999998</v>
      </c>
      <c r="BG13" s="102">
        <v>-521.20000000000005</v>
      </c>
      <c r="BH13" s="54">
        <v>-457.2</v>
      </c>
      <c r="BI13" s="54">
        <v>-463.6</v>
      </c>
      <c r="BJ13" s="36">
        <v>-461.2</v>
      </c>
      <c r="BK13" s="693">
        <f t="shared" si="24"/>
        <v>-1903.2</v>
      </c>
      <c r="BL13" s="102">
        <v>-446.3</v>
      </c>
      <c r="BM13" s="54">
        <v>-467.5</v>
      </c>
      <c r="BN13" s="54">
        <v>-452.1</v>
      </c>
      <c r="BO13" s="36">
        <f>-1829-BN13-BM13-BL13</f>
        <v>-463.10000000000008</v>
      </c>
      <c r="BP13" s="819">
        <f t="shared" si="25"/>
        <v>-1829.0000000000002</v>
      </c>
      <c r="BQ13" s="831">
        <v>-462.5</v>
      </c>
      <c r="BR13" s="54">
        <v>-468.7</v>
      </c>
      <c r="BS13" s="54">
        <v>-475</v>
      </c>
      <c r="BT13" s="54">
        <v>-494.2</v>
      </c>
      <c r="BU13" s="906">
        <f t="shared" si="26"/>
        <v>-1900.4</v>
      </c>
      <c r="BV13" s="831">
        <v>-481</v>
      </c>
      <c r="BW13" s="54">
        <v>-455.7</v>
      </c>
      <c r="BX13" s="54"/>
      <c r="BY13" s="54"/>
      <c r="BZ13" s="906">
        <f t="shared" si="27"/>
        <v>-936.7</v>
      </c>
      <c r="CA13" s="839"/>
      <c r="CB13" s="959"/>
      <c r="CC13" s="840"/>
      <c r="CD13" s="839"/>
      <c r="CE13" s="959"/>
      <c r="CF13" s="959"/>
      <c r="CG13" s="839"/>
      <c r="CH13" s="839"/>
    </row>
    <row r="14" spans="1:92" ht="18.75" customHeight="1">
      <c r="A14" s="49" t="s">
        <v>52</v>
      </c>
      <c r="B14" s="112" t="s">
        <v>53</v>
      </c>
      <c r="C14" s="54">
        <v>-5.5</v>
      </c>
      <c r="D14" s="54">
        <v>-7.6</v>
      </c>
      <c r="E14" s="54">
        <v>-7</v>
      </c>
      <c r="F14" s="54">
        <v>-16.100000000000001</v>
      </c>
      <c r="G14" s="200">
        <f>SUM(C14:F14)</f>
        <v>-36.200000000000003</v>
      </c>
      <c r="H14" s="55">
        <v>-25.8</v>
      </c>
      <c r="I14" s="54">
        <v>-16.8</v>
      </c>
      <c r="J14" s="54">
        <v>-10.7</v>
      </c>
      <c r="K14" s="54">
        <v>-10.6</v>
      </c>
      <c r="L14" s="200">
        <f>SUM(H14:K14)</f>
        <v>-63.9</v>
      </c>
      <c r="M14" s="55">
        <v>-10.300000000000011</v>
      </c>
      <c r="N14" s="54">
        <v>-189.7</v>
      </c>
      <c r="O14" s="54">
        <v>-348.6</v>
      </c>
      <c r="P14" s="54">
        <v>-376.6</v>
      </c>
      <c r="Q14" s="200">
        <f>SUM(M14:P14)</f>
        <v>-925.2</v>
      </c>
      <c r="R14" s="54">
        <v>-332.5</v>
      </c>
      <c r="S14" s="54">
        <v>-291.7</v>
      </c>
      <c r="T14" s="54">
        <v>-314.89999999999998</v>
      </c>
      <c r="U14" s="52">
        <v>-393.59999999999991</v>
      </c>
      <c r="V14" s="200">
        <v>-1332.8</v>
      </c>
      <c r="W14" s="56">
        <v>-326.8</v>
      </c>
      <c r="X14" s="56">
        <v>-317.3</v>
      </c>
      <c r="Y14" s="36">
        <v>-330.5</v>
      </c>
      <c r="Z14" s="52">
        <v>-380.1</v>
      </c>
      <c r="AA14" s="200">
        <f>SUM(W14:Z14)</f>
        <v>-1354.7</v>
      </c>
      <c r="AB14" s="56">
        <v>-323.60000000000002</v>
      </c>
      <c r="AC14" s="56">
        <v>-318.8</v>
      </c>
      <c r="AD14" s="36">
        <v>-323.3</v>
      </c>
      <c r="AE14" s="36">
        <v>-357.9</v>
      </c>
      <c r="AF14" s="200">
        <f t="shared" si="8"/>
        <v>-1323.6</v>
      </c>
      <c r="AG14" s="56">
        <v>-258.5</v>
      </c>
      <c r="AH14" s="54">
        <v>-275.2</v>
      </c>
      <c r="AI14" s="54">
        <v>-277.3</v>
      </c>
      <c r="AJ14" s="36">
        <v>-331.7</v>
      </c>
      <c r="AK14" s="200">
        <f t="shared" si="19"/>
        <v>-1142.7</v>
      </c>
      <c r="AL14" s="497"/>
      <c r="AM14" s="102">
        <v>-272.5</v>
      </c>
      <c r="AN14" s="54">
        <v>-282.5</v>
      </c>
      <c r="AO14" s="54">
        <v>-281.10000000000002</v>
      </c>
      <c r="AP14" s="36">
        <v>-338.1</v>
      </c>
      <c r="AQ14" s="200">
        <f t="shared" si="20"/>
        <v>-1174.2</v>
      </c>
      <c r="AR14" s="102">
        <v>-289.39999999999998</v>
      </c>
      <c r="AS14" s="54">
        <v>-321.7</v>
      </c>
      <c r="AT14" s="54">
        <v>-340.7</v>
      </c>
      <c r="AU14" s="36">
        <v>-368.6</v>
      </c>
      <c r="AV14" s="200">
        <f t="shared" si="21"/>
        <v>-1320.4</v>
      </c>
      <c r="AW14" s="102">
        <v>-289.39999999999998</v>
      </c>
      <c r="AX14" s="54">
        <v>-321.7</v>
      </c>
      <c r="AY14" s="54">
        <v>-340.7</v>
      </c>
      <c r="AZ14" s="36">
        <v>-368.6</v>
      </c>
      <c r="BA14" s="200">
        <f t="shared" si="22"/>
        <v>-1320.4</v>
      </c>
      <c r="BB14" s="102">
        <v>-282.3</v>
      </c>
      <c r="BC14" s="54">
        <v>-334.8</v>
      </c>
      <c r="BD14" s="54">
        <v>-361.6</v>
      </c>
      <c r="BE14" s="36">
        <v>-359.5</v>
      </c>
      <c r="BF14" s="708">
        <f t="shared" si="23"/>
        <v>-1338.2</v>
      </c>
      <c r="BG14" s="102">
        <v>-276.7</v>
      </c>
      <c r="BH14" s="54">
        <v>-289.2</v>
      </c>
      <c r="BI14" s="54">
        <v>-297.60000000000002</v>
      </c>
      <c r="BJ14" s="36">
        <v>-337.2</v>
      </c>
      <c r="BK14" s="693">
        <f t="shared" si="24"/>
        <v>-1200.7</v>
      </c>
      <c r="BL14" s="102">
        <v>-277.5</v>
      </c>
      <c r="BM14" s="54">
        <v>-382</v>
      </c>
      <c r="BN14" s="54">
        <v>-365.40000000000009</v>
      </c>
      <c r="BO14" s="36">
        <f>-1454.4-BN14-BM14-BL14</f>
        <v>-429.5</v>
      </c>
      <c r="BP14" s="819">
        <f t="shared" si="25"/>
        <v>-1454.4</v>
      </c>
      <c r="BQ14" s="831">
        <v>-392.6</v>
      </c>
      <c r="BR14" s="54">
        <v>-384</v>
      </c>
      <c r="BS14" s="54">
        <v>-348.1</v>
      </c>
      <c r="BT14" s="54">
        <v>-415.2</v>
      </c>
      <c r="BU14" s="906">
        <f t="shared" si="26"/>
        <v>-1539.9</v>
      </c>
      <c r="BV14" s="831">
        <v>-328</v>
      </c>
      <c r="BW14" s="54">
        <v>-333.7</v>
      </c>
      <c r="BX14" s="54"/>
      <c r="BY14" s="54"/>
      <c r="BZ14" s="906">
        <f t="shared" si="27"/>
        <v>-661.7</v>
      </c>
      <c r="CA14" s="839"/>
      <c r="CB14" s="959"/>
      <c r="CC14" s="840"/>
      <c r="CD14" s="927"/>
      <c r="CE14" s="927"/>
      <c r="CF14" s="410"/>
      <c r="CG14" s="839"/>
      <c r="CH14" s="839"/>
    </row>
    <row r="15" spans="1:92" ht="18.75" customHeight="1">
      <c r="A15" s="49" t="s">
        <v>54</v>
      </c>
      <c r="B15" s="112" t="s">
        <v>55</v>
      </c>
      <c r="C15" s="54">
        <v>-206.8</v>
      </c>
      <c r="D15" s="54">
        <v>-226.6</v>
      </c>
      <c r="E15" s="54">
        <v>-171.5</v>
      </c>
      <c r="F15" s="54">
        <v>-219</v>
      </c>
      <c r="G15" s="200">
        <f>SUM(C15:F15)</f>
        <v>-823.9</v>
      </c>
      <c r="H15" s="55">
        <v>-207.5</v>
      </c>
      <c r="I15" s="54">
        <v>-239.5</v>
      </c>
      <c r="J15" s="54">
        <v>-219.3</v>
      </c>
      <c r="K15" s="54">
        <v>-260.7</v>
      </c>
      <c r="L15" s="200">
        <f>SUM(H15:K15)</f>
        <v>-927</v>
      </c>
      <c r="M15" s="55">
        <v>-210.60000000000002</v>
      </c>
      <c r="N15" s="54">
        <v>-260.89999999999998</v>
      </c>
      <c r="O15" s="54">
        <v>-262.39999999999998</v>
      </c>
      <c r="P15" s="54">
        <v>-295.60000000000002</v>
      </c>
      <c r="Q15" s="200">
        <f>SUM(M15:P15)</f>
        <v>-1029.5</v>
      </c>
      <c r="R15" s="54">
        <v>-235.5</v>
      </c>
      <c r="S15" s="54">
        <v>-274</v>
      </c>
      <c r="T15" s="54">
        <v>-257.3</v>
      </c>
      <c r="U15" s="52">
        <v>-299.10000000000014</v>
      </c>
      <c r="V15" s="200">
        <v>-1065.9000000000001</v>
      </c>
      <c r="W15" s="56">
        <v>-248.5</v>
      </c>
      <c r="X15" s="56">
        <v>-316.3</v>
      </c>
      <c r="Y15" s="36">
        <v>-252.1</v>
      </c>
      <c r="Z15" s="52">
        <v>-297.3</v>
      </c>
      <c r="AA15" s="200">
        <f>SUM(W15:Z15)</f>
        <v>-1114.2</v>
      </c>
      <c r="AB15" s="56">
        <v>-264.3</v>
      </c>
      <c r="AC15" s="56">
        <v>-298.39999999999998</v>
      </c>
      <c r="AD15" s="36">
        <v>-269.7</v>
      </c>
      <c r="AE15" s="36">
        <v>-321.2</v>
      </c>
      <c r="AF15" s="200">
        <f t="shared" si="8"/>
        <v>-1153.6000000000001</v>
      </c>
      <c r="AG15" s="56">
        <v>-269.39999999999998</v>
      </c>
      <c r="AH15" s="54">
        <v>-316.8</v>
      </c>
      <c r="AI15" s="54">
        <v>-323.5</v>
      </c>
      <c r="AJ15" s="36">
        <v>-406.8</v>
      </c>
      <c r="AK15" s="200">
        <f t="shared" si="19"/>
        <v>-1316.5</v>
      </c>
      <c r="AL15" s="497"/>
      <c r="AM15" s="102">
        <v>-269.39999999999998</v>
      </c>
      <c r="AN15" s="54">
        <v>-323</v>
      </c>
      <c r="AO15" s="54">
        <v>-338.9</v>
      </c>
      <c r="AP15" s="36">
        <v>-424</v>
      </c>
      <c r="AQ15" s="200">
        <f t="shared" si="20"/>
        <v>-1355.3</v>
      </c>
      <c r="AR15" s="102">
        <v>-369</v>
      </c>
      <c r="AS15" s="54">
        <v>-418</v>
      </c>
      <c r="AT15" s="54">
        <v>-423</v>
      </c>
      <c r="AU15" s="36">
        <v>-456.9</v>
      </c>
      <c r="AV15" s="200">
        <f t="shared" si="21"/>
        <v>-1666.9</v>
      </c>
      <c r="AW15" s="102">
        <v>-366.9</v>
      </c>
      <c r="AX15" s="54">
        <v>-415.8</v>
      </c>
      <c r="AY15" s="54">
        <v>-421</v>
      </c>
      <c r="AZ15" s="36">
        <v>-454.8</v>
      </c>
      <c r="BA15" s="200">
        <f t="shared" si="22"/>
        <v>-1658.5</v>
      </c>
      <c r="BB15" s="102">
        <v>-388.8</v>
      </c>
      <c r="BC15" s="54">
        <v>-368.9</v>
      </c>
      <c r="BD15" s="54">
        <v>-396.7</v>
      </c>
      <c r="BE15" s="36">
        <v>-484</v>
      </c>
      <c r="BF15" s="708">
        <f t="shared" si="23"/>
        <v>-1638.4</v>
      </c>
      <c r="BG15" s="102">
        <v>-419.4</v>
      </c>
      <c r="BH15" s="54">
        <v>-449.2</v>
      </c>
      <c r="BI15" s="54">
        <v>-426.9</v>
      </c>
      <c r="BJ15" s="36">
        <v>-531.4</v>
      </c>
      <c r="BK15" s="693">
        <f t="shared" si="24"/>
        <v>-1826.9</v>
      </c>
      <c r="BL15" s="102">
        <v>-473.5</v>
      </c>
      <c r="BM15" s="54">
        <v>-504.9</v>
      </c>
      <c r="BN15" s="54">
        <v>-530</v>
      </c>
      <c r="BO15" s="36">
        <f>-2063.9-BN15-BM15-BL15</f>
        <v>-555.5</v>
      </c>
      <c r="BP15" s="819">
        <f t="shared" si="25"/>
        <v>-2063.9</v>
      </c>
      <c r="BQ15" s="831">
        <v>-514.5</v>
      </c>
      <c r="BR15" s="54">
        <v>-529.4</v>
      </c>
      <c r="BS15" s="54">
        <v>-516.6</v>
      </c>
      <c r="BT15" s="54">
        <v>-565.6</v>
      </c>
      <c r="BU15" s="906">
        <f t="shared" si="26"/>
        <v>-2126.1</v>
      </c>
      <c r="BV15" s="831">
        <v>-513</v>
      </c>
      <c r="BW15" s="54">
        <v>-555.4</v>
      </c>
      <c r="BX15" s="54"/>
      <c r="BY15" s="54"/>
      <c r="BZ15" s="906">
        <f t="shared" si="27"/>
        <v>-1068.4000000000001</v>
      </c>
      <c r="CA15" s="839"/>
      <c r="CB15" s="959"/>
      <c r="CC15" s="840"/>
      <c r="CD15" s="927"/>
      <c r="CE15" s="927"/>
      <c r="CF15" s="410"/>
      <c r="CG15" s="839"/>
      <c r="CH15" s="839"/>
    </row>
    <row r="16" spans="1:92" ht="26">
      <c r="A16" s="49" t="s">
        <v>56</v>
      </c>
      <c r="B16" s="112" t="s">
        <v>57</v>
      </c>
      <c r="C16" s="54">
        <v>-71.5</v>
      </c>
      <c r="D16" s="54">
        <v>-71.8</v>
      </c>
      <c r="E16" s="54">
        <v>-73.7</v>
      </c>
      <c r="F16" s="54">
        <v>-95.7</v>
      </c>
      <c r="G16" s="200">
        <f>SUM(C16:F16)</f>
        <v>-312.7</v>
      </c>
      <c r="H16" s="55">
        <v>-79</v>
      </c>
      <c r="I16" s="54">
        <v>-81.3</v>
      </c>
      <c r="J16" s="54">
        <v>-79.3</v>
      </c>
      <c r="K16" s="54">
        <v>-92.4</v>
      </c>
      <c r="L16" s="200">
        <f>SUM(H16:K16)</f>
        <v>-332</v>
      </c>
      <c r="M16" s="55">
        <v>-75.400000000000006</v>
      </c>
      <c r="N16" s="54">
        <v>-132.19999999999999</v>
      </c>
      <c r="O16" s="54">
        <v>-186.8</v>
      </c>
      <c r="P16" s="54">
        <v>-218.3</v>
      </c>
      <c r="Q16" s="200">
        <f>SUM(M16:P16)</f>
        <v>-612.70000000000005</v>
      </c>
      <c r="R16" s="54">
        <v>-189.2</v>
      </c>
      <c r="S16" s="54">
        <v>-193.2</v>
      </c>
      <c r="T16" s="54">
        <v>-200.1</v>
      </c>
      <c r="U16" s="52">
        <v>-220.1</v>
      </c>
      <c r="V16" s="200">
        <v>-802.6</v>
      </c>
      <c r="W16" s="56">
        <v>-200.5</v>
      </c>
      <c r="X16" s="56">
        <v>-202.2</v>
      </c>
      <c r="Y16" s="36">
        <v>-202.6</v>
      </c>
      <c r="Z16" s="52">
        <v>-222.5</v>
      </c>
      <c r="AA16" s="200">
        <f>SUM(W16:Z16)</f>
        <v>-827.8</v>
      </c>
      <c r="AB16" s="56">
        <v>-211.1</v>
      </c>
      <c r="AC16" s="56">
        <v>-215.9</v>
      </c>
      <c r="AD16" s="36">
        <v>-224</v>
      </c>
      <c r="AE16" s="36">
        <v>-243.3</v>
      </c>
      <c r="AF16" s="200">
        <f t="shared" si="8"/>
        <v>-894.3</v>
      </c>
      <c r="AG16" s="56">
        <v>-205.2</v>
      </c>
      <c r="AH16" s="54">
        <v>-214.9</v>
      </c>
      <c r="AI16" s="54">
        <v>-217.1</v>
      </c>
      <c r="AJ16" s="36">
        <v>-265.60000000000002</v>
      </c>
      <c r="AK16" s="200">
        <f t="shared" si="19"/>
        <v>-902.80000000000007</v>
      </c>
      <c r="AL16" s="497"/>
      <c r="AM16" s="102">
        <v>-205.2</v>
      </c>
      <c r="AN16" s="54">
        <v>-223.5</v>
      </c>
      <c r="AO16" s="54">
        <v>-236.5</v>
      </c>
      <c r="AP16" s="36">
        <v>-268.69999999999993</v>
      </c>
      <c r="AQ16" s="200">
        <f t="shared" si="20"/>
        <v>-933.9</v>
      </c>
      <c r="AR16" s="102">
        <v>-249.5</v>
      </c>
      <c r="AS16" s="54">
        <v>-245.6</v>
      </c>
      <c r="AT16" s="54">
        <v>-261</v>
      </c>
      <c r="AU16" s="36">
        <v>-282.7</v>
      </c>
      <c r="AV16" s="200">
        <f t="shared" si="21"/>
        <v>-1038.8</v>
      </c>
      <c r="AW16" s="102">
        <v>-244.8</v>
      </c>
      <c r="AX16" s="54">
        <v>-241.8</v>
      </c>
      <c r="AY16" s="54">
        <v>-256.60000000000002</v>
      </c>
      <c r="AZ16" s="36">
        <v>-278.10000000000002</v>
      </c>
      <c r="BA16" s="200">
        <f t="shared" si="22"/>
        <v>-1021.3000000000001</v>
      </c>
      <c r="BB16" s="102">
        <v>-224.4</v>
      </c>
      <c r="BC16" s="54">
        <v>-232</v>
      </c>
      <c r="BD16" s="54">
        <v>-247.4</v>
      </c>
      <c r="BE16" s="36">
        <v>-259.39999999999998</v>
      </c>
      <c r="BF16" s="708">
        <f t="shared" si="23"/>
        <v>-963.19999999999993</v>
      </c>
      <c r="BG16" s="102">
        <v>-229</v>
      </c>
      <c r="BH16" s="54">
        <v>-230.6</v>
      </c>
      <c r="BI16" s="54">
        <v>-280.60000000000002</v>
      </c>
      <c r="BJ16" s="36">
        <v>-284.8</v>
      </c>
      <c r="BK16" s="693">
        <f t="shared" si="24"/>
        <v>-1025</v>
      </c>
      <c r="BL16" s="102">
        <v>-251.1</v>
      </c>
      <c r="BM16" s="54">
        <v>-256.2</v>
      </c>
      <c r="BN16" s="54">
        <v>-256.60000000000002</v>
      </c>
      <c r="BO16" s="36">
        <f>-1035-BN16-BM16-BL16</f>
        <v>-271.10000000000002</v>
      </c>
      <c r="BP16" s="819">
        <f t="shared" si="25"/>
        <v>-1035</v>
      </c>
      <c r="BQ16" s="831">
        <v>-243.6</v>
      </c>
      <c r="BR16" s="54">
        <v>-247.7</v>
      </c>
      <c r="BS16" s="54">
        <v>-258.2</v>
      </c>
      <c r="BT16" s="54">
        <v>-277.39999999999998</v>
      </c>
      <c r="BU16" s="906">
        <f t="shared" si="26"/>
        <v>-1026.9000000000001</v>
      </c>
      <c r="BV16" s="831">
        <v>-268.7</v>
      </c>
      <c r="BW16" s="54">
        <v>-255.8</v>
      </c>
      <c r="BX16" s="54"/>
      <c r="BY16" s="54"/>
      <c r="BZ16" s="906">
        <f t="shared" si="27"/>
        <v>-524.5</v>
      </c>
      <c r="CA16" s="839"/>
      <c r="CB16" s="959"/>
      <c r="CC16" s="840"/>
      <c r="CD16" s="927"/>
      <c r="CE16" s="927"/>
      <c r="CF16" s="410"/>
      <c r="CG16" s="839"/>
      <c r="CH16" s="839"/>
    </row>
    <row r="17" spans="1:89" ht="18.75" customHeight="1">
      <c r="A17" s="49" t="s">
        <v>58</v>
      </c>
      <c r="B17" s="112" t="s">
        <v>59</v>
      </c>
      <c r="C17" s="54"/>
      <c r="D17" s="54"/>
      <c r="E17" s="54"/>
      <c r="F17" s="54"/>
      <c r="G17" s="200"/>
      <c r="H17" s="55"/>
      <c r="I17" s="54"/>
      <c r="J17" s="54"/>
      <c r="K17" s="54"/>
      <c r="L17" s="200"/>
      <c r="M17" s="55"/>
      <c r="N17" s="54"/>
      <c r="O17" s="54"/>
      <c r="P17" s="54"/>
      <c r="Q17" s="200"/>
      <c r="R17" s="54"/>
      <c r="S17" s="54"/>
      <c r="T17" s="54"/>
      <c r="U17" s="52"/>
      <c r="V17" s="200"/>
      <c r="W17" s="56"/>
      <c r="X17" s="56"/>
      <c r="Y17" s="36"/>
      <c r="Z17" s="52"/>
      <c r="AA17" s="200"/>
      <c r="AB17" s="56"/>
      <c r="AC17" s="56"/>
      <c r="AD17" s="36"/>
      <c r="AE17" s="36"/>
      <c r="AF17" s="200"/>
      <c r="AG17" s="56"/>
      <c r="AH17" s="54"/>
      <c r="AI17" s="54"/>
      <c r="AJ17" s="36"/>
      <c r="AK17" s="200"/>
      <c r="AL17" s="497"/>
      <c r="AM17" s="102"/>
      <c r="AN17" s="54"/>
      <c r="AO17" s="54"/>
      <c r="AP17" s="36"/>
      <c r="AQ17" s="200"/>
      <c r="AR17" s="102"/>
      <c r="AS17" s="54"/>
      <c r="AT17" s="54"/>
      <c r="AU17" s="36"/>
      <c r="AV17" s="200"/>
      <c r="AW17" s="102"/>
      <c r="AX17" s="54"/>
      <c r="AY17" s="54"/>
      <c r="AZ17" s="36"/>
      <c r="BA17" s="200"/>
      <c r="BB17" s="102"/>
      <c r="BC17" s="54"/>
      <c r="BD17" s="54"/>
      <c r="BE17" s="36"/>
      <c r="BF17" s="708"/>
      <c r="BG17" s="102"/>
      <c r="BH17" s="54"/>
      <c r="BI17" s="54"/>
      <c r="BJ17" s="36"/>
      <c r="BK17" s="693"/>
      <c r="BL17" s="102"/>
      <c r="BM17" s="54"/>
      <c r="BN17" s="54"/>
      <c r="BO17" s="36"/>
      <c r="BP17" s="819"/>
      <c r="BQ17" s="831"/>
      <c r="BR17" s="54"/>
      <c r="BS17" s="54">
        <v>-255.1</v>
      </c>
      <c r="BT17" s="54">
        <v>-268.2</v>
      </c>
      <c r="BU17" s="906">
        <f t="shared" si="26"/>
        <v>-523.29999999999995</v>
      </c>
      <c r="BV17" s="831">
        <v>-241.8</v>
      </c>
      <c r="BW17" s="54">
        <v>-194.1</v>
      </c>
      <c r="BX17" s="54"/>
      <c r="BY17" s="54"/>
      <c r="BZ17" s="906">
        <f t="shared" si="27"/>
        <v>-435.9</v>
      </c>
      <c r="CA17" s="839"/>
      <c r="CB17" s="959"/>
      <c r="CC17" s="840"/>
      <c r="CD17" s="927"/>
      <c r="CE17" s="927"/>
      <c r="CF17" s="410"/>
      <c r="CG17" s="839"/>
      <c r="CH17" s="839"/>
    </row>
    <row r="18" spans="1:89" s="882" customFormat="1" ht="18.75" customHeight="1">
      <c r="A18" s="868" t="s">
        <v>60</v>
      </c>
      <c r="B18" s="868" t="s">
        <v>61</v>
      </c>
      <c r="C18" s="869"/>
      <c r="D18" s="869"/>
      <c r="E18" s="869"/>
      <c r="F18" s="869"/>
      <c r="G18" s="870"/>
      <c r="H18" s="871"/>
      <c r="I18" s="869"/>
      <c r="J18" s="869"/>
      <c r="K18" s="869"/>
      <c r="L18" s="870"/>
      <c r="M18" s="871"/>
      <c r="N18" s="869"/>
      <c r="O18" s="869"/>
      <c r="P18" s="869"/>
      <c r="Q18" s="870"/>
      <c r="R18" s="869"/>
      <c r="S18" s="869"/>
      <c r="T18" s="869"/>
      <c r="U18" s="872"/>
      <c r="V18" s="870"/>
      <c r="W18" s="873"/>
      <c r="X18" s="873"/>
      <c r="Y18" s="874"/>
      <c r="Z18" s="872"/>
      <c r="AA18" s="870"/>
      <c r="AB18" s="873"/>
      <c r="AC18" s="873"/>
      <c r="AD18" s="874"/>
      <c r="AE18" s="874"/>
      <c r="AF18" s="870"/>
      <c r="AG18" s="873"/>
      <c r="AH18" s="869"/>
      <c r="AI18" s="869"/>
      <c r="AJ18" s="874"/>
      <c r="AK18" s="870"/>
      <c r="AL18" s="875"/>
      <c r="AM18" s="876"/>
      <c r="AN18" s="869"/>
      <c r="AO18" s="869"/>
      <c r="AP18" s="874"/>
      <c r="AQ18" s="870"/>
      <c r="AR18" s="876"/>
      <c r="AS18" s="869"/>
      <c r="AT18" s="869"/>
      <c r="AU18" s="874"/>
      <c r="AV18" s="870"/>
      <c r="AW18" s="876"/>
      <c r="AX18" s="869"/>
      <c r="AY18" s="869"/>
      <c r="AZ18" s="874"/>
      <c r="BA18" s="870"/>
      <c r="BB18" s="876"/>
      <c r="BC18" s="869"/>
      <c r="BD18" s="869"/>
      <c r="BE18" s="874"/>
      <c r="BF18" s="877"/>
      <c r="BG18" s="876"/>
      <c r="BH18" s="869"/>
      <c r="BI18" s="869"/>
      <c r="BJ18" s="874"/>
      <c r="BK18" s="878"/>
      <c r="BL18" s="876"/>
      <c r="BM18" s="869"/>
      <c r="BN18" s="869"/>
      <c r="BO18" s="874"/>
      <c r="BP18" s="879"/>
      <c r="BQ18" s="880"/>
      <c r="BR18" s="869"/>
      <c r="BS18" s="869">
        <v>-8.5</v>
      </c>
      <c r="BT18" s="869">
        <v>-9.3000000000000007</v>
      </c>
      <c r="BU18" s="970">
        <f>SUM(BQ18:BT18)</f>
        <v>-17.8</v>
      </c>
      <c r="BV18" s="880">
        <v>-11.6</v>
      </c>
      <c r="BW18" s="869">
        <v>-12.3</v>
      </c>
      <c r="BX18" s="869"/>
      <c r="BY18" s="869"/>
      <c r="BZ18" s="970">
        <f>SUM(BV18:BY18)</f>
        <v>-23.9</v>
      </c>
      <c r="CA18" s="839"/>
      <c r="CB18" s="959"/>
      <c r="CC18" s="840"/>
      <c r="CD18" s="927"/>
      <c r="CE18" s="927"/>
      <c r="CF18" s="881"/>
      <c r="CG18" s="839"/>
      <c r="CH18" s="839"/>
    </row>
    <row r="19" spans="1:89" ht="18.75" customHeight="1">
      <c r="A19" s="49" t="s">
        <v>62</v>
      </c>
      <c r="B19" s="112" t="s">
        <v>63</v>
      </c>
      <c r="C19" s="54">
        <v>-40.6</v>
      </c>
      <c r="D19" s="54">
        <v>-40.299999999999997</v>
      </c>
      <c r="E19" s="54">
        <v>-38.9</v>
      </c>
      <c r="F19" s="54">
        <v>-58.6</v>
      </c>
      <c r="G19" s="200">
        <f t="shared" ref="G19:G24" si="28">SUM(C19:F19)</f>
        <v>-178.4</v>
      </c>
      <c r="H19" s="55">
        <v>-43.1</v>
      </c>
      <c r="I19" s="54">
        <v>-41.9</v>
      </c>
      <c r="J19" s="54">
        <v>-40.4</v>
      </c>
      <c r="K19" s="54">
        <v>-53.2</v>
      </c>
      <c r="L19" s="200">
        <f t="shared" ref="L19:L24" si="29">SUM(H19:K19)</f>
        <v>-178.60000000000002</v>
      </c>
      <c r="M19" s="55">
        <v>-44.600000000000009</v>
      </c>
      <c r="N19" s="54">
        <v>-108.2</v>
      </c>
      <c r="O19" s="54">
        <v>-118</v>
      </c>
      <c r="P19" s="54">
        <v>-150.9</v>
      </c>
      <c r="Q19" s="200">
        <f t="shared" ref="Q19:Q24" si="30">SUM(M19:P19)</f>
        <v>-421.70000000000005</v>
      </c>
      <c r="R19" s="54">
        <v>-129.1</v>
      </c>
      <c r="S19" s="54">
        <v>-140.80000000000001</v>
      </c>
      <c r="T19" s="54">
        <v>-122.3</v>
      </c>
      <c r="U19" s="52">
        <v>-158.00000000000006</v>
      </c>
      <c r="V19" s="200">
        <v>-550.20000000000005</v>
      </c>
      <c r="W19" s="56">
        <v>-137.9</v>
      </c>
      <c r="X19" s="56">
        <v>-138.19999999999999</v>
      </c>
      <c r="Y19" s="36">
        <v>-130.5</v>
      </c>
      <c r="Z19" s="52">
        <v>-163.9</v>
      </c>
      <c r="AA19" s="200">
        <f t="shared" si="7"/>
        <v>-570.5</v>
      </c>
      <c r="AB19" s="56">
        <v>-127.8</v>
      </c>
      <c r="AC19" s="56">
        <v>-133.69999999999999</v>
      </c>
      <c r="AD19" s="36">
        <v>-127.4</v>
      </c>
      <c r="AE19" s="36">
        <v>-164.2</v>
      </c>
      <c r="AF19" s="200">
        <f t="shared" si="8"/>
        <v>-553.09999999999991</v>
      </c>
      <c r="AG19" s="56">
        <v>-143.80000000000001</v>
      </c>
      <c r="AH19" s="54">
        <v>-146</v>
      </c>
      <c r="AI19" s="54">
        <v>-137</v>
      </c>
      <c r="AJ19" s="36">
        <v>-184.2</v>
      </c>
      <c r="AK19" s="200">
        <f t="shared" si="19"/>
        <v>-611</v>
      </c>
      <c r="AL19" s="498"/>
      <c r="AM19" s="102">
        <v>-143.80000000000001</v>
      </c>
      <c r="AN19" s="54">
        <v>-169.3</v>
      </c>
      <c r="AO19" s="54">
        <v>-187.1</v>
      </c>
      <c r="AP19" s="36">
        <v>-238.7</v>
      </c>
      <c r="AQ19" s="200">
        <f t="shared" si="20"/>
        <v>-738.90000000000009</v>
      </c>
      <c r="AR19" s="102">
        <v>-212.6</v>
      </c>
      <c r="AS19" s="54">
        <v>-205.6</v>
      </c>
      <c r="AT19" s="54">
        <v>-199.3</v>
      </c>
      <c r="AU19" s="36">
        <v>-253.1</v>
      </c>
      <c r="AV19" s="200">
        <f t="shared" si="21"/>
        <v>-870.6</v>
      </c>
      <c r="AW19" s="102">
        <v>-212.6</v>
      </c>
      <c r="AX19" s="54">
        <v>-205.6</v>
      </c>
      <c r="AY19" s="54">
        <v>-199.3</v>
      </c>
      <c r="AZ19" s="36">
        <v>-253.1</v>
      </c>
      <c r="BA19" s="200">
        <f t="shared" si="22"/>
        <v>-870.6</v>
      </c>
      <c r="BB19" s="102">
        <v>-221.9</v>
      </c>
      <c r="BC19" s="54">
        <v>-210.2</v>
      </c>
      <c r="BD19" s="54">
        <v>-208</v>
      </c>
      <c r="BE19" s="36">
        <v>-265.8</v>
      </c>
      <c r="BF19" s="708">
        <f t="shared" si="23"/>
        <v>-905.90000000000009</v>
      </c>
      <c r="BG19" s="102">
        <v>-236.9</v>
      </c>
      <c r="BH19" s="54">
        <v>-227.9</v>
      </c>
      <c r="BI19" s="54">
        <v>-210.8</v>
      </c>
      <c r="BJ19" s="36">
        <v>-271.3</v>
      </c>
      <c r="BK19" s="693">
        <f t="shared" si="24"/>
        <v>-946.90000000000009</v>
      </c>
      <c r="BL19" s="102">
        <v>-244.6</v>
      </c>
      <c r="BM19" s="54">
        <v>-247.1</v>
      </c>
      <c r="BN19" s="54">
        <v>-242.3</v>
      </c>
      <c r="BO19" s="36">
        <f>-1034-BN19-BM19-BL19</f>
        <v>-300</v>
      </c>
      <c r="BP19" s="819">
        <f t="shared" si="25"/>
        <v>-1034</v>
      </c>
      <c r="BQ19" s="831">
        <v>-276.10000000000002</v>
      </c>
      <c r="BR19" s="54">
        <v>-274.89999999999998</v>
      </c>
      <c r="BS19" s="54">
        <v>-271.60000000000002</v>
      </c>
      <c r="BT19" s="54">
        <v>-335.6</v>
      </c>
      <c r="BU19" s="906">
        <f t="shared" ref="BU19:BU22" si="31">SUM(BQ19:BT19)</f>
        <v>-1158.2</v>
      </c>
      <c r="BV19" s="831">
        <v>-304</v>
      </c>
      <c r="BW19" s="54">
        <v>-296.39999999999998</v>
      </c>
      <c r="BX19" s="54"/>
      <c r="BY19" s="54"/>
      <c r="BZ19" s="906">
        <f t="shared" ref="BZ19:BZ22" si="32">SUM(BV19:BY19)</f>
        <v>-600.4</v>
      </c>
      <c r="CA19" s="839"/>
      <c r="CB19" s="959"/>
      <c r="CC19" s="840"/>
      <c r="CD19" s="927"/>
      <c r="CE19" s="927"/>
      <c r="CF19" s="410"/>
      <c r="CG19" s="839"/>
      <c r="CH19" s="839"/>
    </row>
    <row r="20" spans="1:89" ht="30" customHeight="1">
      <c r="A20" s="49" t="s">
        <v>64</v>
      </c>
      <c r="B20" s="114" t="s">
        <v>65</v>
      </c>
      <c r="C20" s="54">
        <v>-5.9</v>
      </c>
      <c r="D20" s="54">
        <v>-8.4</v>
      </c>
      <c r="E20" s="54">
        <v>-5.3</v>
      </c>
      <c r="F20" s="54">
        <v>-7.8</v>
      </c>
      <c r="G20" s="200">
        <f t="shared" si="28"/>
        <v>-27.400000000000002</v>
      </c>
      <c r="H20" s="55">
        <v>-6.42</v>
      </c>
      <c r="I20" s="54">
        <v>-9.3000000000000007</v>
      </c>
      <c r="J20" s="54">
        <v>-5.3</v>
      </c>
      <c r="K20" s="54">
        <v>-7.2</v>
      </c>
      <c r="L20" s="200">
        <f t="shared" si="29"/>
        <v>-28.22</v>
      </c>
      <c r="M20" s="55">
        <v>-6.6999999999999993</v>
      </c>
      <c r="N20" s="54">
        <v>-18.100000000000001</v>
      </c>
      <c r="O20" s="54">
        <v>-15.3</v>
      </c>
      <c r="P20" s="54">
        <v>-27.5</v>
      </c>
      <c r="Q20" s="200">
        <f t="shared" si="30"/>
        <v>-67.599999999999994</v>
      </c>
      <c r="R20" s="54">
        <v>-18.7</v>
      </c>
      <c r="S20" s="54">
        <v>-27.8</v>
      </c>
      <c r="T20" s="54">
        <v>-8.5</v>
      </c>
      <c r="U20" s="52">
        <v>-7.6000000000000014</v>
      </c>
      <c r="V20" s="200">
        <v>-62.6</v>
      </c>
      <c r="W20" s="56">
        <v>-9.6</v>
      </c>
      <c r="X20" s="56">
        <v>-16.3</v>
      </c>
      <c r="Y20" s="36">
        <v>-5.7</v>
      </c>
      <c r="Z20" s="52">
        <v>-15.3</v>
      </c>
      <c r="AA20" s="200">
        <f t="shared" si="7"/>
        <v>-46.9</v>
      </c>
      <c r="AB20" s="56">
        <v>-19.3</v>
      </c>
      <c r="AC20" s="56">
        <v>-16.3</v>
      </c>
      <c r="AD20" s="36">
        <v>-21.3</v>
      </c>
      <c r="AE20" s="36">
        <v>-10.5</v>
      </c>
      <c r="AF20" s="200">
        <f t="shared" si="8"/>
        <v>-67.400000000000006</v>
      </c>
      <c r="AG20" s="56">
        <v>-11.9</v>
      </c>
      <c r="AH20" s="54">
        <v>-18.2</v>
      </c>
      <c r="AI20" s="54">
        <v>-32.9</v>
      </c>
      <c r="AJ20" s="36">
        <v>-19</v>
      </c>
      <c r="AK20" s="200">
        <f t="shared" si="19"/>
        <v>-82</v>
      </c>
      <c r="AL20" s="497"/>
      <c r="AM20" s="102">
        <v>-11.9</v>
      </c>
      <c r="AN20" s="54">
        <v>-17.600000000000001</v>
      </c>
      <c r="AO20" s="54">
        <v>-34.799999999999997</v>
      </c>
      <c r="AP20" s="36">
        <v>-19.600000000000009</v>
      </c>
      <c r="AQ20" s="200">
        <f t="shared" si="20"/>
        <v>-83.9</v>
      </c>
      <c r="AR20" s="102">
        <v>-34.6</v>
      </c>
      <c r="AS20" s="54">
        <v>-16.899999999999999</v>
      </c>
      <c r="AT20" s="54">
        <v>-19.8</v>
      </c>
      <c r="AU20" s="36">
        <v>-27.6</v>
      </c>
      <c r="AV20" s="200">
        <f t="shared" si="21"/>
        <v>-98.9</v>
      </c>
      <c r="AW20" s="102">
        <v>-34.6</v>
      </c>
      <c r="AX20" s="54">
        <v>-16.899999999999999</v>
      </c>
      <c r="AY20" s="54">
        <v>-19.8</v>
      </c>
      <c r="AZ20" s="36">
        <v>-27.6</v>
      </c>
      <c r="BA20" s="200">
        <f t="shared" si="22"/>
        <v>-98.9</v>
      </c>
      <c r="BB20" s="102">
        <v>-44.311173479999866</v>
      </c>
      <c r="BC20" s="54">
        <v>-36.6</v>
      </c>
      <c r="BD20" s="54">
        <v>-22.8</v>
      </c>
      <c r="BE20" s="36">
        <v>-25.2</v>
      </c>
      <c r="BF20" s="708">
        <f t="shared" si="23"/>
        <v>-128.91117347999986</v>
      </c>
      <c r="BG20" s="102">
        <v>-29.8</v>
      </c>
      <c r="BH20" s="54">
        <v>-22.7</v>
      </c>
      <c r="BI20" s="54">
        <v>-30.4</v>
      </c>
      <c r="BJ20" s="36">
        <v>-12.5</v>
      </c>
      <c r="BK20" s="693">
        <f t="shared" si="24"/>
        <v>-95.4</v>
      </c>
      <c r="BL20" s="102">
        <v>-24.8</v>
      </c>
      <c r="BM20" s="54">
        <v>-22.3</v>
      </c>
      <c r="BN20" s="54">
        <v>-25.6</v>
      </c>
      <c r="BO20" s="36">
        <f>-97.8-BN20-BM20-BL20</f>
        <v>-25.099999999999991</v>
      </c>
      <c r="BP20" s="819">
        <f t="shared" si="25"/>
        <v>-97.8</v>
      </c>
      <c r="BQ20" s="831">
        <v>-29.4</v>
      </c>
      <c r="BR20" s="54">
        <v>-32.5</v>
      </c>
      <c r="BS20" s="54">
        <v>-32.9</v>
      </c>
      <c r="BT20" s="54">
        <v>-26.2</v>
      </c>
      <c r="BU20" s="906">
        <f t="shared" si="31"/>
        <v>-121</v>
      </c>
      <c r="BV20" s="831">
        <v>-13.1</v>
      </c>
      <c r="BW20" s="54">
        <v>-28.4</v>
      </c>
      <c r="BX20" s="54"/>
      <c r="BY20" s="54"/>
      <c r="BZ20" s="906">
        <f t="shared" si="32"/>
        <v>-41.5</v>
      </c>
      <c r="CA20" s="839"/>
      <c r="CB20" s="959"/>
      <c r="CC20" s="840"/>
      <c r="CD20" s="927"/>
      <c r="CE20" s="927"/>
      <c r="CF20" s="410"/>
      <c r="CG20" s="839"/>
      <c r="CH20" s="839"/>
    </row>
    <row r="21" spans="1:89" ht="18.75" customHeight="1">
      <c r="A21" s="49" t="s">
        <v>66</v>
      </c>
      <c r="B21" s="112" t="s">
        <v>67</v>
      </c>
      <c r="C21" s="54">
        <v>-30.1</v>
      </c>
      <c r="D21" s="54">
        <v>-33.200000000000003</v>
      </c>
      <c r="E21" s="54">
        <v>-29.7</v>
      </c>
      <c r="F21" s="54">
        <v>-34.200000000000003</v>
      </c>
      <c r="G21" s="200">
        <f t="shared" si="28"/>
        <v>-127.2</v>
      </c>
      <c r="H21" s="55">
        <v>-29.7</v>
      </c>
      <c r="I21" s="54">
        <v>-29.3</v>
      </c>
      <c r="J21" s="54">
        <v>-28.7</v>
      </c>
      <c r="K21" s="54">
        <v>-27.6</v>
      </c>
      <c r="L21" s="200">
        <f t="shared" si="29"/>
        <v>-115.30000000000001</v>
      </c>
      <c r="M21" s="55">
        <v>-26.000000000000007</v>
      </c>
      <c r="N21" s="54">
        <v>-43.4</v>
      </c>
      <c r="O21" s="54">
        <v>-87.2</v>
      </c>
      <c r="P21" s="54">
        <v>-55.5</v>
      </c>
      <c r="Q21" s="200">
        <f t="shared" si="30"/>
        <v>-212.10000000000002</v>
      </c>
      <c r="R21" s="54">
        <v>-53.8</v>
      </c>
      <c r="S21" s="54">
        <v>-56.1</v>
      </c>
      <c r="T21" s="54">
        <v>-44.6</v>
      </c>
      <c r="U21" s="52">
        <v>-59.099999999999994</v>
      </c>
      <c r="V21" s="200">
        <v>-213.5</v>
      </c>
      <c r="W21" s="56">
        <v>-50.7</v>
      </c>
      <c r="X21" s="56">
        <v>-67.599999999999994</v>
      </c>
      <c r="Y21" s="36">
        <v>-50.2</v>
      </c>
      <c r="Z21" s="52">
        <v>-76.5</v>
      </c>
      <c r="AA21" s="200">
        <f t="shared" si="7"/>
        <v>-245</v>
      </c>
      <c r="AB21" s="56">
        <v>-51.6</v>
      </c>
      <c r="AC21" s="56">
        <v>-49.5</v>
      </c>
      <c r="AD21" s="36">
        <v>-52.3</v>
      </c>
      <c r="AE21" s="36">
        <v>-73.5</v>
      </c>
      <c r="AF21" s="200">
        <f t="shared" si="8"/>
        <v>-226.89999999999998</v>
      </c>
      <c r="AG21" s="56">
        <v>-55.3</v>
      </c>
      <c r="AH21" s="54">
        <v>-55.2</v>
      </c>
      <c r="AI21" s="54">
        <v>-53.4</v>
      </c>
      <c r="AJ21" s="36">
        <v>-68</v>
      </c>
      <c r="AK21" s="200">
        <f t="shared" si="19"/>
        <v>-231.9</v>
      </c>
      <c r="AL21" s="497"/>
      <c r="AM21" s="102">
        <v>-55.3</v>
      </c>
      <c r="AN21" s="54">
        <v>-61.8</v>
      </c>
      <c r="AO21" s="54">
        <v>-69.099999999999994</v>
      </c>
      <c r="AP21" s="36">
        <v>-86.800000000000011</v>
      </c>
      <c r="AQ21" s="200">
        <f t="shared" si="20"/>
        <v>-273</v>
      </c>
      <c r="AR21" s="102">
        <v>-70.599999999999994</v>
      </c>
      <c r="AS21" s="54">
        <v>-73.599999999999994</v>
      </c>
      <c r="AT21" s="54">
        <v>-76.599999999999994</v>
      </c>
      <c r="AU21" s="36">
        <v>-80.7</v>
      </c>
      <c r="AV21" s="200">
        <f t="shared" si="21"/>
        <v>-301.5</v>
      </c>
      <c r="AW21" s="102">
        <v>-57.8</v>
      </c>
      <c r="AX21" s="54">
        <v>-60.4</v>
      </c>
      <c r="AY21" s="54">
        <v>-62.1</v>
      </c>
      <c r="AZ21" s="36">
        <v>-63.8</v>
      </c>
      <c r="BA21" s="200">
        <f t="shared" si="22"/>
        <v>-244.09999999999997</v>
      </c>
      <c r="BB21" s="102">
        <v>-65.099999999999994</v>
      </c>
      <c r="BC21" s="54">
        <v>-71.099999999999994</v>
      </c>
      <c r="BD21" s="54">
        <v>-76.3</v>
      </c>
      <c r="BE21" s="36">
        <v>-120.1</v>
      </c>
      <c r="BF21" s="708">
        <f t="shared" si="23"/>
        <v>-332.6</v>
      </c>
      <c r="BG21" s="102">
        <v>-93.2</v>
      </c>
      <c r="BH21" s="54">
        <v>-158.30000000000001</v>
      </c>
      <c r="BI21" s="54">
        <v>-95.7</v>
      </c>
      <c r="BJ21" s="36">
        <v>-110.5</v>
      </c>
      <c r="BK21" s="693">
        <f t="shared" si="24"/>
        <v>-457.7</v>
      </c>
      <c r="BL21" s="102">
        <v>-106.4</v>
      </c>
      <c r="BM21" s="105">
        <v>-127.4</v>
      </c>
      <c r="BN21" s="107">
        <v>-182.1</v>
      </c>
      <c r="BO21" s="95">
        <f>-614.2-BN21-BM21-BL21</f>
        <v>-198.30000000000004</v>
      </c>
      <c r="BP21" s="821">
        <f t="shared" si="25"/>
        <v>-614.20000000000005</v>
      </c>
      <c r="BQ21" s="831">
        <v>-164.6</v>
      </c>
      <c r="BR21" s="105">
        <v>-183.9</v>
      </c>
      <c r="BS21" s="54">
        <v>-169.6</v>
      </c>
      <c r="BT21" s="54">
        <v>-242.2</v>
      </c>
      <c r="BU21" s="908">
        <f t="shared" si="31"/>
        <v>-760.3</v>
      </c>
      <c r="BV21" s="831">
        <v>-164.1</v>
      </c>
      <c r="BW21" s="105">
        <v>-146.19999999999999</v>
      </c>
      <c r="BX21" s="54"/>
      <c r="BY21" s="54"/>
      <c r="BZ21" s="908">
        <f t="shared" si="32"/>
        <v>-310.29999999999995</v>
      </c>
      <c r="CA21" s="839"/>
      <c r="CB21" s="959"/>
      <c r="CC21" s="840"/>
      <c r="CD21" s="927"/>
      <c r="CE21" s="927"/>
      <c r="CF21" s="410"/>
      <c r="CG21" s="839"/>
      <c r="CH21" s="839"/>
    </row>
    <row r="22" spans="1:89" s="882" customFormat="1" ht="18.75" customHeight="1">
      <c r="A22" s="868" t="s">
        <v>60</v>
      </c>
      <c r="B22" s="868" t="s">
        <v>61</v>
      </c>
      <c r="C22" s="869"/>
      <c r="D22" s="869"/>
      <c r="E22" s="869"/>
      <c r="F22" s="869"/>
      <c r="G22" s="870"/>
      <c r="H22" s="871"/>
      <c r="I22" s="869"/>
      <c r="J22" s="869"/>
      <c r="K22" s="869"/>
      <c r="L22" s="870"/>
      <c r="M22" s="871"/>
      <c r="N22" s="869"/>
      <c r="O22" s="869"/>
      <c r="P22" s="869"/>
      <c r="Q22" s="870"/>
      <c r="R22" s="869"/>
      <c r="S22" s="869"/>
      <c r="T22" s="869"/>
      <c r="U22" s="872"/>
      <c r="V22" s="870"/>
      <c r="W22" s="873"/>
      <c r="X22" s="873"/>
      <c r="Y22" s="874"/>
      <c r="Z22" s="872"/>
      <c r="AA22" s="870"/>
      <c r="AB22" s="873"/>
      <c r="AC22" s="873"/>
      <c r="AD22" s="874"/>
      <c r="AE22" s="874"/>
      <c r="AF22" s="870"/>
      <c r="AG22" s="873"/>
      <c r="AH22" s="869"/>
      <c r="AI22" s="869"/>
      <c r="AJ22" s="874"/>
      <c r="AK22" s="870"/>
      <c r="AL22" s="875"/>
      <c r="AM22" s="876"/>
      <c r="AN22" s="869"/>
      <c r="AO22" s="869"/>
      <c r="AP22" s="874"/>
      <c r="AQ22" s="870"/>
      <c r="AR22" s="876"/>
      <c r="AS22" s="869"/>
      <c r="AT22" s="869"/>
      <c r="AU22" s="874"/>
      <c r="AV22" s="870"/>
      <c r="AW22" s="876"/>
      <c r="AX22" s="869"/>
      <c r="AY22" s="869"/>
      <c r="AZ22" s="874"/>
      <c r="BA22" s="870"/>
      <c r="BB22" s="876"/>
      <c r="BC22" s="869"/>
      <c r="BD22" s="869"/>
      <c r="BE22" s="874"/>
      <c r="BF22" s="877"/>
      <c r="BG22" s="876"/>
      <c r="BH22" s="869"/>
      <c r="BI22" s="869"/>
      <c r="BJ22" s="874"/>
      <c r="BK22" s="878"/>
      <c r="BL22" s="876"/>
      <c r="BM22" s="883"/>
      <c r="BN22" s="884"/>
      <c r="BO22" s="885"/>
      <c r="BP22" s="886"/>
      <c r="BQ22" s="880"/>
      <c r="BR22" s="883"/>
      <c r="BS22" s="884">
        <v>-0.4</v>
      </c>
      <c r="BT22" s="883">
        <v>-1</v>
      </c>
      <c r="BU22" s="909">
        <f t="shared" si="31"/>
        <v>-1.4</v>
      </c>
      <c r="BV22" s="880">
        <v>-1</v>
      </c>
      <c r="BW22" s="883">
        <v>-1</v>
      </c>
      <c r="BX22" s="884"/>
      <c r="BY22" s="883"/>
      <c r="BZ22" s="909">
        <f t="shared" si="32"/>
        <v>-2</v>
      </c>
      <c r="CA22" s="839"/>
      <c r="CB22" s="959"/>
      <c r="CC22" s="840"/>
      <c r="CD22" s="927"/>
      <c r="CE22" s="927"/>
      <c r="CF22" s="881"/>
      <c r="CG22" s="839"/>
      <c r="CH22" s="839"/>
    </row>
    <row r="23" spans="1:89" s="410" customFormat="1" ht="22.5" customHeight="1">
      <c r="A23" s="403" t="s">
        <v>68</v>
      </c>
      <c r="B23" s="404" t="s">
        <v>69</v>
      </c>
      <c r="C23" s="409"/>
      <c r="D23" s="409"/>
      <c r="E23" s="409"/>
      <c r="F23" s="409"/>
      <c r="G23" s="475"/>
      <c r="H23" s="407"/>
      <c r="I23" s="405"/>
      <c r="J23" s="405"/>
      <c r="K23" s="409"/>
      <c r="L23" s="406"/>
      <c r="M23" s="407"/>
      <c r="N23" s="405"/>
      <c r="O23" s="405"/>
      <c r="P23" s="409"/>
      <c r="Q23" s="406"/>
      <c r="R23" s="405"/>
      <c r="S23" s="405"/>
      <c r="T23" s="474"/>
      <c r="U23" s="474"/>
      <c r="V23" s="406"/>
      <c r="W23" s="405"/>
      <c r="X23" s="405"/>
      <c r="Y23" s="409"/>
      <c r="Z23" s="474"/>
      <c r="AA23" s="406"/>
      <c r="AB23" s="405"/>
      <c r="AC23" s="405"/>
      <c r="AD23" s="405"/>
      <c r="AE23" s="474"/>
      <c r="AF23" s="406"/>
      <c r="AG23" s="405"/>
      <c r="AH23" s="474"/>
      <c r="AI23" s="405"/>
      <c r="AJ23" s="409"/>
      <c r="AK23" s="406"/>
      <c r="AL23" s="411"/>
      <c r="AM23" s="407"/>
      <c r="AN23" s="474"/>
      <c r="AO23" s="405"/>
      <c r="AP23" s="409"/>
      <c r="AQ23" s="406"/>
      <c r="AR23" s="407"/>
      <c r="AS23" s="405"/>
      <c r="AT23" s="405"/>
      <c r="AU23" s="405"/>
      <c r="AV23" s="406"/>
      <c r="AW23" s="407"/>
      <c r="AX23" s="405"/>
      <c r="AY23" s="405"/>
      <c r="AZ23" s="405"/>
      <c r="BA23" s="406"/>
      <c r="BB23" s="407"/>
      <c r="BC23" s="474"/>
      <c r="BD23" s="474"/>
      <c r="BE23" s="405"/>
      <c r="BF23" s="690"/>
      <c r="BG23" s="407"/>
      <c r="BH23" s="474"/>
      <c r="BI23" s="405">
        <v>3690.8</v>
      </c>
      <c r="BJ23" s="496">
        <v>-10.199999999999999</v>
      </c>
      <c r="BK23" s="690">
        <f t="shared" si="24"/>
        <v>3680.6000000000004</v>
      </c>
      <c r="BL23" s="745">
        <v>0</v>
      </c>
      <c r="BM23" s="746">
        <v>0</v>
      </c>
      <c r="BN23" s="746">
        <v>113.4</v>
      </c>
      <c r="BO23" s="474">
        <f>153.2-BN23</f>
        <v>39.799999999999983</v>
      </c>
      <c r="BP23" s="822">
        <f t="shared" si="25"/>
        <v>153.19999999999999</v>
      </c>
      <c r="BQ23" s="832">
        <v>0</v>
      </c>
      <c r="BR23" s="746">
        <v>0</v>
      </c>
      <c r="BS23" s="746">
        <v>220.1</v>
      </c>
      <c r="BT23" s="746">
        <v>-0.4</v>
      </c>
      <c r="BU23" s="910">
        <f>SUM(BQ23:BT23)</f>
        <v>219.7</v>
      </c>
      <c r="BV23" s="832">
        <v>10</v>
      </c>
      <c r="BW23" s="746">
        <v>0</v>
      </c>
      <c r="BX23" s="746"/>
      <c r="BY23" s="746"/>
      <c r="BZ23" s="910">
        <f>SUM(BV23:BY23)</f>
        <v>10</v>
      </c>
      <c r="CA23" s="839"/>
      <c r="CB23" s="959"/>
      <c r="CC23" s="840"/>
      <c r="CD23" s="927"/>
      <c r="CE23" s="927"/>
      <c r="CG23" s="839"/>
      <c r="CH23" s="839"/>
    </row>
    <row r="24" spans="1:89" s="410" customFormat="1" ht="22.5" customHeight="1">
      <c r="A24" s="403" t="s">
        <v>70</v>
      </c>
      <c r="B24" s="404" t="s">
        <v>71</v>
      </c>
      <c r="C24" s="409">
        <v>-1.7</v>
      </c>
      <c r="D24" s="409">
        <v>-1.1000000000000001</v>
      </c>
      <c r="E24" s="409">
        <v>-2</v>
      </c>
      <c r="F24" s="409">
        <v>-12.7</v>
      </c>
      <c r="G24" s="475">
        <f t="shared" si="28"/>
        <v>-17.5</v>
      </c>
      <c r="H24" s="407">
        <v>0.5</v>
      </c>
      <c r="I24" s="405">
        <v>1.5</v>
      </c>
      <c r="J24" s="405">
        <v>36.799999999999997</v>
      </c>
      <c r="K24" s="409">
        <v>-2</v>
      </c>
      <c r="L24" s="406">
        <f t="shared" si="29"/>
        <v>36.799999999999997</v>
      </c>
      <c r="M24" s="407">
        <v>3.6</v>
      </c>
      <c r="N24" s="405">
        <v>3.5</v>
      </c>
      <c r="O24" s="405">
        <v>4.7</v>
      </c>
      <c r="P24" s="409">
        <v>-2.2000000000000002</v>
      </c>
      <c r="Q24" s="406">
        <f t="shared" si="30"/>
        <v>9.6000000000000014</v>
      </c>
      <c r="R24" s="405">
        <v>8.6999999999999993</v>
      </c>
      <c r="S24" s="405">
        <v>13.8</v>
      </c>
      <c r="T24" s="474">
        <v>14.4</v>
      </c>
      <c r="U24" s="474">
        <v>-6.2</v>
      </c>
      <c r="V24" s="406">
        <v>30.7</v>
      </c>
      <c r="W24" s="405">
        <v>6.8</v>
      </c>
      <c r="X24" s="405">
        <v>6.6</v>
      </c>
      <c r="Y24" s="409">
        <v>0</v>
      </c>
      <c r="Z24" s="474">
        <v>-4.5999999999999996</v>
      </c>
      <c r="AA24" s="406">
        <f t="shared" si="7"/>
        <v>8.7999999999999989</v>
      </c>
      <c r="AB24" s="405">
        <v>6.8</v>
      </c>
      <c r="AC24" s="405">
        <v>9.9</v>
      </c>
      <c r="AD24" s="405">
        <v>6.7</v>
      </c>
      <c r="AE24" s="474">
        <v>-2.1</v>
      </c>
      <c r="AF24" s="406">
        <f t="shared" si="8"/>
        <v>21.299999999999997</v>
      </c>
      <c r="AG24" s="405">
        <v>6.7</v>
      </c>
      <c r="AH24" s="474">
        <v>-1.9</v>
      </c>
      <c r="AI24" s="405">
        <v>4.5999999999999996</v>
      </c>
      <c r="AJ24" s="409">
        <v>0</v>
      </c>
      <c r="AK24" s="406">
        <f t="shared" si="19"/>
        <v>9.4</v>
      </c>
      <c r="AL24" s="411"/>
      <c r="AM24" s="407">
        <v>6.7</v>
      </c>
      <c r="AN24" s="474">
        <v>-0.6</v>
      </c>
      <c r="AO24" s="405">
        <v>7.3</v>
      </c>
      <c r="AP24" s="409">
        <v>6.2999999999999989</v>
      </c>
      <c r="AQ24" s="406">
        <f t="shared" si="20"/>
        <v>19.7</v>
      </c>
      <c r="AR24" s="407">
        <v>16.600000000000001</v>
      </c>
      <c r="AS24" s="405">
        <v>6.7</v>
      </c>
      <c r="AT24" s="405">
        <v>3.4</v>
      </c>
      <c r="AU24" s="405">
        <v>19</v>
      </c>
      <c r="AV24" s="406">
        <f t="shared" si="21"/>
        <v>45.7</v>
      </c>
      <c r="AW24" s="407">
        <v>16.600000000000001</v>
      </c>
      <c r="AX24" s="405">
        <v>6.7</v>
      </c>
      <c r="AY24" s="405">
        <v>3.4</v>
      </c>
      <c r="AZ24" s="405">
        <v>19</v>
      </c>
      <c r="BA24" s="406">
        <f t="shared" si="22"/>
        <v>45.7</v>
      </c>
      <c r="BB24" s="407">
        <v>5.8</v>
      </c>
      <c r="BC24" s="474">
        <v>-13</v>
      </c>
      <c r="BD24" s="474">
        <v>-2.8</v>
      </c>
      <c r="BE24" s="405">
        <v>7.1</v>
      </c>
      <c r="BF24" s="690">
        <f t="shared" si="23"/>
        <v>-2.9000000000000004</v>
      </c>
      <c r="BG24" s="407">
        <v>5</v>
      </c>
      <c r="BH24" s="474">
        <v>-7.9</v>
      </c>
      <c r="BI24" s="405">
        <v>4.5999999999999996</v>
      </c>
      <c r="BJ24" s="474">
        <v>-24.4</v>
      </c>
      <c r="BK24" s="690">
        <f>SUM(BG24:BJ24)</f>
        <v>-22.7</v>
      </c>
      <c r="BL24" s="474">
        <v>-32.700000000000003</v>
      </c>
      <c r="BM24" s="474">
        <v>13.1</v>
      </c>
      <c r="BN24" s="474">
        <v>-6.1</v>
      </c>
      <c r="BO24" s="474">
        <f>-26.5-BN24-BM24-BL24</f>
        <v>-0.79999999999999716</v>
      </c>
      <c r="BP24" s="822">
        <f>SUM(BL24:BO24)</f>
        <v>-26.5</v>
      </c>
      <c r="BQ24" s="833">
        <v>-8.6999999999999993</v>
      </c>
      <c r="BR24" s="474">
        <v>-15</v>
      </c>
      <c r="BS24" s="474">
        <v>0.3</v>
      </c>
      <c r="BT24" s="746">
        <v>-22.2</v>
      </c>
      <c r="BU24" s="910">
        <f>SUM(BQ24:BT24)</f>
        <v>-45.599999999999994</v>
      </c>
      <c r="BV24" s="833">
        <v>154</v>
      </c>
      <c r="BW24" s="474">
        <v>27.5</v>
      </c>
      <c r="BX24" s="474"/>
      <c r="BY24" s="746"/>
      <c r="BZ24" s="910">
        <f>SUM(BV24:BY24)</f>
        <v>181.5</v>
      </c>
      <c r="CA24" s="839"/>
      <c r="CB24" s="959"/>
      <c r="CC24" s="840"/>
      <c r="CD24" s="927"/>
      <c r="CE24" s="927"/>
      <c r="CG24" s="839"/>
      <c r="CH24" s="839"/>
      <c r="CI24" s="928"/>
      <c r="CJ24" s="928"/>
      <c r="CK24" s="928"/>
    </row>
    <row r="25" spans="1:89" s="410" customFormat="1" ht="22.5" customHeight="1" thickBot="1">
      <c r="A25" s="403" t="s">
        <v>72</v>
      </c>
      <c r="B25" s="404" t="s">
        <v>73</v>
      </c>
      <c r="C25" s="405">
        <f t="shared" ref="C25:AK25" si="33">C5+C11+C24</f>
        <v>203.00000000000006</v>
      </c>
      <c r="D25" s="405">
        <f t="shared" si="33"/>
        <v>212.99999999999997</v>
      </c>
      <c r="E25" s="405">
        <f t="shared" si="33"/>
        <v>197.60000000000002</v>
      </c>
      <c r="F25" s="405">
        <f t="shared" si="33"/>
        <v>175.50000000000017</v>
      </c>
      <c r="G25" s="406">
        <f t="shared" si="33"/>
        <v>789.09999999999923</v>
      </c>
      <c r="H25" s="407">
        <f t="shared" si="33"/>
        <v>184.67999999999995</v>
      </c>
      <c r="I25" s="405">
        <f t="shared" si="33"/>
        <v>195</v>
      </c>
      <c r="J25" s="405">
        <f t="shared" si="33"/>
        <v>203.39999999999998</v>
      </c>
      <c r="K25" s="405">
        <f t="shared" si="33"/>
        <v>206.79999999999995</v>
      </c>
      <c r="L25" s="406">
        <f t="shared" si="33"/>
        <v>789.88000000000034</v>
      </c>
      <c r="M25" s="407">
        <f t="shared" si="33"/>
        <v>219.4999999999998</v>
      </c>
      <c r="N25" s="405">
        <f t="shared" si="33"/>
        <v>397.59999999999991</v>
      </c>
      <c r="O25" s="405">
        <f t="shared" si="33"/>
        <v>431.79999999999967</v>
      </c>
      <c r="P25" s="405">
        <f t="shared" si="33"/>
        <v>393.50000000000074</v>
      </c>
      <c r="Q25" s="406">
        <f t="shared" si="33"/>
        <v>1442.3999999999992</v>
      </c>
      <c r="R25" s="405">
        <f t="shared" si="33"/>
        <v>428.7</v>
      </c>
      <c r="S25" s="405">
        <f t="shared" si="33"/>
        <v>583.5</v>
      </c>
      <c r="T25" s="405">
        <f t="shared" si="33"/>
        <v>529.1999999999997</v>
      </c>
      <c r="U25" s="405">
        <f t="shared" si="33"/>
        <v>444.40000000000038</v>
      </c>
      <c r="V25" s="406">
        <f t="shared" si="33"/>
        <v>1985.7999999999995</v>
      </c>
      <c r="W25" s="405">
        <f t="shared" si="33"/>
        <v>422.8</v>
      </c>
      <c r="X25" s="405">
        <f t="shared" si="33"/>
        <v>407.50000000000011</v>
      </c>
      <c r="Y25" s="408">
        <f t="shared" si="33"/>
        <v>449.10000000000036</v>
      </c>
      <c r="Z25" s="408">
        <f t="shared" si="33"/>
        <v>389.9</v>
      </c>
      <c r="AA25" s="406">
        <f t="shared" si="33"/>
        <v>1669.3</v>
      </c>
      <c r="AB25" s="405">
        <f t="shared" si="33"/>
        <v>457.20000000000033</v>
      </c>
      <c r="AC25" s="405">
        <f t="shared" si="33"/>
        <v>516.99999999999989</v>
      </c>
      <c r="AD25" s="405">
        <f t="shared" si="33"/>
        <v>421.90000000000003</v>
      </c>
      <c r="AE25" s="405">
        <f t="shared" si="33"/>
        <v>437.9</v>
      </c>
      <c r="AF25" s="406">
        <f t="shared" si="33"/>
        <v>1834.0000000000007</v>
      </c>
      <c r="AG25" s="405">
        <f t="shared" si="33"/>
        <v>464.29999999999967</v>
      </c>
      <c r="AH25" s="405">
        <f t="shared" si="33"/>
        <v>488.49999999999989</v>
      </c>
      <c r="AI25" s="405">
        <f t="shared" si="33"/>
        <v>396.00000000000011</v>
      </c>
      <c r="AJ25" s="409">
        <f t="shared" si="33"/>
        <v>416</v>
      </c>
      <c r="AK25" s="406">
        <f t="shared" si="33"/>
        <v>1764.7999999999997</v>
      </c>
      <c r="AL25" s="411"/>
      <c r="AM25" s="407">
        <f t="shared" ref="AM25:BH25" si="34">AM5+AM11+AM24</f>
        <v>435.49999999999994</v>
      </c>
      <c r="AN25" s="405">
        <f t="shared" si="34"/>
        <v>475.5999999999998</v>
      </c>
      <c r="AO25" s="405">
        <f t="shared" si="34"/>
        <v>396.49999999999983</v>
      </c>
      <c r="AP25" s="409">
        <f t="shared" si="34"/>
        <v>419.39999999999992</v>
      </c>
      <c r="AQ25" s="406">
        <f t="shared" si="34"/>
        <v>1727.000000000003</v>
      </c>
      <c r="AR25" s="407">
        <f t="shared" si="34"/>
        <v>481.9000000000002</v>
      </c>
      <c r="AS25" s="405">
        <f t="shared" si="34"/>
        <v>515.29999999999995</v>
      </c>
      <c r="AT25" s="405">
        <f t="shared" si="34"/>
        <v>452.6999999999997</v>
      </c>
      <c r="AU25" s="405">
        <f t="shared" si="34"/>
        <v>485.00000000000091</v>
      </c>
      <c r="AV25" s="406">
        <f t="shared" si="34"/>
        <v>1934.9000000000026</v>
      </c>
      <c r="AW25" s="407">
        <f t="shared" si="34"/>
        <v>491.19999999999948</v>
      </c>
      <c r="AX25" s="405">
        <f t="shared" si="34"/>
        <v>522.49999999999977</v>
      </c>
      <c r="AY25" s="405">
        <f t="shared" si="34"/>
        <v>458.99999999999989</v>
      </c>
      <c r="AZ25" s="405">
        <f t="shared" si="34"/>
        <v>494.30000000000018</v>
      </c>
      <c r="BA25" s="406">
        <f t="shared" si="34"/>
        <v>1967.0000000000011</v>
      </c>
      <c r="BB25" s="407">
        <f t="shared" si="34"/>
        <v>462.18882651999985</v>
      </c>
      <c r="BC25" s="405">
        <f t="shared" si="34"/>
        <v>394.10000000000082</v>
      </c>
      <c r="BD25" s="405">
        <f t="shared" si="34"/>
        <v>505.89999999999981</v>
      </c>
      <c r="BE25" s="405">
        <f t="shared" si="34"/>
        <v>524.00000000000011</v>
      </c>
      <c r="BF25" s="692">
        <f t="shared" si="34"/>
        <v>1886.1888265199991</v>
      </c>
      <c r="BG25" s="407">
        <f t="shared" si="34"/>
        <v>561.5</v>
      </c>
      <c r="BH25" s="405">
        <f t="shared" si="34"/>
        <v>683.69999999999993</v>
      </c>
      <c r="BI25" s="405">
        <f>BI5+BI11+BI24+BI23</f>
        <v>4131.4000000000005</v>
      </c>
      <c r="BJ25" s="405">
        <f>BJ5+BJ11+BJ24+BJ23</f>
        <v>419.79999999999967</v>
      </c>
      <c r="BK25" s="690">
        <f>BK5+BK11+BK24+BK23</f>
        <v>5796.3999999999987</v>
      </c>
      <c r="BL25" s="407">
        <f>BL5+BL11+BL24</f>
        <v>320.3</v>
      </c>
      <c r="BM25" s="405">
        <f>BM5+BM11+BM24</f>
        <v>425.79999999999984</v>
      </c>
      <c r="BN25" s="405">
        <f t="shared" ref="BN25:BR25" si="35">BN5+BN11+BN24+BN23</f>
        <v>500.90000000000077</v>
      </c>
      <c r="BO25" s="405">
        <f t="shared" si="35"/>
        <v>395.19999999999891</v>
      </c>
      <c r="BP25" s="822">
        <f t="shared" si="35"/>
        <v>1642.2</v>
      </c>
      <c r="BQ25" s="833">
        <f>BQ5+BQ11+BQ24+BQ23</f>
        <v>298.70000000000056</v>
      </c>
      <c r="BR25" s="833">
        <f t="shared" si="35"/>
        <v>329.80000000000018</v>
      </c>
      <c r="BS25" s="887">
        <f>BS5+BS11+BS24+BS23</f>
        <v>510.90000000000043</v>
      </c>
      <c r="BT25" s="887">
        <f>BT5+BT11+BT24+BT23</f>
        <v>172.20000000000019</v>
      </c>
      <c r="BU25" s="910">
        <f>BU5+BU11+BU24+BU23</f>
        <v>1311.600000000002</v>
      </c>
      <c r="BV25" s="833">
        <f>BV5+BV11+BV24+BV23</f>
        <v>452.69862972000101</v>
      </c>
      <c r="BW25" s="833">
        <f>BW5+BW11+BW24+BW23</f>
        <v>396.00000000000045</v>
      </c>
      <c r="BX25" s="887"/>
      <c r="BY25" s="887"/>
      <c r="BZ25" s="910">
        <f>BZ5+BZ11+BZ24+BZ23</f>
        <v>848.69862972000101</v>
      </c>
      <c r="CA25" s="839"/>
      <c r="CB25" s="959"/>
      <c r="CC25" s="840"/>
      <c r="CD25" s="927"/>
      <c r="CE25" s="927"/>
      <c r="CG25" s="839"/>
      <c r="CH25" s="839"/>
      <c r="CI25" s="929"/>
      <c r="CK25" s="929"/>
    </row>
    <row r="26" spans="1:89" ht="20.149999999999999" customHeight="1">
      <c r="A26" s="796" t="s">
        <v>774</v>
      </c>
      <c r="B26" s="797" t="s">
        <v>74</v>
      </c>
      <c r="C26" s="798">
        <v>12.5</v>
      </c>
      <c r="D26" s="798">
        <v>-8.5</v>
      </c>
      <c r="E26" s="798">
        <v>5.3</v>
      </c>
      <c r="F26" s="798">
        <v>5</v>
      </c>
      <c r="G26" s="799">
        <f>SUM(C26:F26)</f>
        <v>14.3</v>
      </c>
      <c r="H26" s="800">
        <v>3.9</v>
      </c>
      <c r="I26" s="798">
        <v>0.7</v>
      </c>
      <c r="J26" s="798">
        <v>7.4</v>
      </c>
      <c r="K26" s="798">
        <v>4.0999999999999996</v>
      </c>
      <c r="L26" s="799">
        <f>SUM(H26:K26)</f>
        <v>16.100000000000001</v>
      </c>
      <c r="M26" s="800">
        <v>1.2000000000000028</v>
      </c>
      <c r="N26" s="798">
        <v>23.9</v>
      </c>
      <c r="O26" s="798">
        <v>1.5</v>
      </c>
      <c r="P26" s="798">
        <v>-11.4</v>
      </c>
      <c r="Q26" s="799">
        <f>SUM(M26:P26)</f>
        <v>15.200000000000001</v>
      </c>
      <c r="R26" s="798">
        <v>28.9</v>
      </c>
      <c r="S26" s="798">
        <v>-11.9</v>
      </c>
      <c r="T26" s="798">
        <v>-5.2</v>
      </c>
      <c r="U26" s="801">
        <v>-3.2</v>
      </c>
      <c r="V26" s="799">
        <v>8.6000000000000014</v>
      </c>
      <c r="W26" s="802">
        <v>-35.200000000000003</v>
      </c>
      <c r="X26" s="802">
        <v>-21.4</v>
      </c>
      <c r="Y26" s="803">
        <v>13.1</v>
      </c>
      <c r="Z26" s="801">
        <v>-26.3</v>
      </c>
      <c r="AA26" s="799">
        <f t="shared" si="7"/>
        <v>-69.8</v>
      </c>
      <c r="AB26" s="802">
        <v>30.5</v>
      </c>
      <c r="AC26" s="802">
        <v>-14.4</v>
      </c>
      <c r="AD26" s="803">
        <v>-28</v>
      </c>
      <c r="AE26" s="803">
        <v>19.100000000000001</v>
      </c>
      <c r="AF26" s="799">
        <f t="shared" si="8"/>
        <v>7.2000000000000028</v>
      </c>
      <c r="AG26" s="802">
        <v>-3.4</v>
      </c>
      <c r="AH26" s="798">
        <v>-34.4</v>
      </c>
      <c r="AI26" s="798">
        <v>12.7</v>
      </c>
      <c r="AJ26" s="803">
        <v>4.7</v>
      </c>
      <c r="AK26" s="799">
        <f t="shared" ref="AK26:AK28" si="36">SUM(AG26:AJ26)</f>
        <v>-20.399999999999999</v>
      </c>
      <c r="AL26" s="804"/>
      <c r="AM26" s="805">
        <v>-3.4</v>
      </c>
      <c r="AN26" s="798">
        <v>-45.9</v>
      </c>
      <c r="AO26" s="798">
        <v>11.7</v>
      </c>
      <c r="AP26" s="803">
        <v>4.6000000000000014</v>
      </c>
      <c r="AQ26" s="799">
        <f t="shared" ref="AQ26:AQ28" si="37">SUM(AM26:AP26)</f>
        <v>-32.999999999999993</v>
      </c>
      <c r="AR26" s="805">
        <v>1.3</v>
      </c>
      <c r="AS26" s="798">
        <v>13.6</v>
      </c>
      <c r="AT26" s="798">
        <v>-34.5</v>
      </c>
      <c r="AU26" s="803">
        <v>39.200000000000003</v>
      </c>
      <c r="AV26" s="799">
        <f t="shared" ref="AV26:AV28" si="38">SUM(AR26:AU26)</f>
        <v>19.600000000000001</v>
      </c>
      <c r="AW26" s="805">
        <v>-12.2</v>
      </c>
      <c r="AX26" s="798">
        <v>4.8</v>
      </c>
      <c r="AY26" s="798">
        <v>-53.8</v>
      </c>
      <c r="AZ26" s="803">
        <v>34.200000000000003</v>
      </c>
      <c r="BA26" s="799">
        <f t="shared" ref="BA26:BA28" si="39">SUM(AW26:AZ26)</f>
        <v>-26.999999999999993</v>
      </c>
      <c r="BB26" s="798">
        <v>-74.2</v>
      </c>
      <c r="BC26" s="798">
        <v>-1.2</v>
      </c>
      <c r="BD26" s="798">
        <v>-26.2</v>
      </c>
      <c r="BE26" s="803">
        <v>-11.5</v>
      </c>
      <c r="BF26" s="806">
        <f>SUM(BB26:BE26)</f>
        <v>-113.10000000000001</v>
      </c>
      <c r="BG26" s="798">
        <v>-22.4</v>
      </c>
      <c r="BH26" s="798">
        <v>7.8</v>
      </c>
      <c r="BI26" s="798">
        <v>-16.5</v>
      </c>
      <c r="BJ26" s="803">
        <v>4.2</v>
      </c>
      <c r="BK26" s="807">
        <f>SUM(BG26:BJ26)</f>
        <v>-26.9</v>
      </c>
      <c r="BL26" s="798">
        <v>6.9</v>
      </c>
      <c r="BM26" s="798">
        <v>5.7</v>
      </c>
      <c r="BN26" s="798">
        <v>-18.100000000000001</v>
      </c>
      <c r="BO26" s="803">
        <f>23.5-BN26-BM26-BL26</f>
        <v>29</v>
      </c>
      <c r="BP26" s="819">
        <f>SUM(BL26:BO26)</f>
        <v>23.5</v>
      </c>
      <c r="BQ26" s="831">
        <v>20.8</v>
      </c>
      <c r="BR26" s="798">
        <v>21</v>
      </c>
      <c r="BS26" s="798">
        <v>39.9</v>
      </c>
      <c r="BT26" s="798">
        <v>80.700000000000017</v>
      </c>
      <c r="BU26" s="906">
        <f>SUM(BQ26:BT26)</f>
        <v>162.4</v>
      </c>
      <c r="BV26" s="831">
        <v>19.2</v>
      </c>
      <c r="BW26" s="798">
        <v>84.2</v>
      </c>
      <c r="BX26" s="798"/>
      <c r="BY26" s="798"/>
      <c r="BZ26" s="906">
        <f>SUM(BV26:BY26)</f>
        <v>103.4</v>
      </c>
      <c r="CA26" s="839"/>
      <c r="CB26" s="959"/>
      <c r="CC26" s="840"/>
      <c r="CD26" s="927"/>
      <c r="CE26" s="927"/>
      <c r="CF26" s="410"/>
      <c r="CG26" s="839"/>
      <c r="CH26" s="839"/>
      <c r="CI26" s="929"/>
      <c r="CK26" s="929"/>
    </row>
    <row r="27" spans="1:89" s="109" customFormat="1" ht="20.149999999999999" customHeight="1">
      <c r="A27" s="104" t="s">
        <v>75</v>
      </c>
      <c r="B27" s="114" t="s">
        <v>76</v>
      </c>
      <c r="C27" s="105">
        <v>30.1</v>
      </c>
      <c r="D27" s="105">
        <v>-92.4</v>
      </c>
      <c r="E27" s="105">
        <v>-5.2</v>
      </c>
      <c r="F27" s="105">
        <v>-43.1</v>
      </c>
      <c r="G27" s="200">
        <f t="shared" ref="G27" si="40">SUM(C27:F27)</f>
        <v>-110.6</v>
      </c>
      <c r="H27" s="106">
        <v>-80.099999999999994</v>
      </c>
      <c r="I27" s="105">
        <v>-102.4</v>
      </c>
      <c r="J27" s="105">
        <v>-10.7</v>
      </c>
      <c r="K27" s="105">
        <v>-22.8</v>
      </c>
      <c r="L27" s="200">
        <f t="shared" ref="L27" si="41">SUM(H27:K27)</f>
        <v>-216</v>
      </c>
      <c r="M27" s="106">
        <v>-108.70000000000005</v>
      </c>
      <c r="N27" s="105">
        <v>-273.39999999999998</v>
      </c>
      <c r="O27" s="105">
        <v>-384.7</v>
      </c>
      <c r="P27" s="105">
        <v>-379.2</v>
      </c>
      <c r="Q27" s="200">
        <f t="shared" ref="Q27" si="42">SUM(M27:P27)</f>
        <v>-1146</v>
      </c>
      <c r="R27" s="105">
        <v>-261.3</v>
      </c>
      <c r="S27" s="105">
        <v>-222.1</v>
      </c>
      <c r="T27" s="105">
        <v>88.8</v>
      </c>
      <c r="U27" s="52">
        <v>-270</v>
      </c>
      <c r="V27" s="200">
        <v>-664.59999999999991</v>
      </c>
      <c r="W27" s="107">
        <v>-182.7</v>
      </c>
      <c r="X27" s="107">
        <v>-133.19999999999999</v>
      </c>
      <c r="Y27" s="95">
        <v>-127.3</v>
      </c>
      <c r="Z27" s="52">
        <v>-122.9</v>
      </c>
      <c r="AA27" s="200">
        <f t="shared" si="7"/>
        <v>-566.1</v>
      </c>
      <c r="AB27" s="107">
        <v>-185.5</v>
      </c>
      <c r="AC27" s="107">
        <v>-113.3</v>
      </c>
      <c r="AD27" s="95">
        <v>-104.8</v>
      </c>
      <c r="AE27" s="95">
        <v>-105.4</v>
      </c>
      <c r="AF27" s="200">
        <f t="shared" si="8"/>
        <v>-509</v>
      </c>
      <c r="AG27" s="107">
        <v>-72.599999999999994</v>
      </c>
      <c r="AH27" s="105">
        <v>-98.8</v>
      </c>
      <c r="AI27" s="105">
        <v>-100.9</v>
      </c>
      <c r="AJ27" s="95">
        <v>-113.3</v>
      </c>
      <c r="AK27" s="200">
        <f t="shared" si="36"/>
        <v>-385.59999999999997</v>
      </c>
      <c r="AL27" s="499"/>
      <c r="AM27" s="108">
        <v>-72.599999999999994</v>
      </c>
      <c r="AN27" s="105">
        <v>-98.9</v>
      </c>
      <c r="AO27" s="105">
        <v>-101.6</v>
      </c>
      <c r="AP27" s="95">
        <v>-113.59999999999997</v>
      </c>
      <c r="AQ27" s="200">
        <f t="shared" si="37"/>
        <v>-386.7</v>
      </c>
      <c r="AR27" s="108">
        <v>-102.7</v>
      </c>
      <c r="AS27" s="105">
        <v>-170</v>
      </c>
      <c r="AT27" s="105">
        <v>-97.9</v>
      </c>
      <c r="AU27" s="95">
        <v>-95.3</v>
      </c>
      <c r="AV27" s="200">
        <f t="shared" si="38"/>
        <v>-465.90000000000003</v>
      </c>
      <c r="AW27" s="108">
        <v>-102.7</v>
      </c>
      <c r="AX27" s="105">
        <v>-170</v>
      </c>
      <c r="AY27" s="105">
        <v>-97.9</v>
      </c>
      <c r="AZ27" s="95">
        <v>-95.3</v>
      </c>
      <c r="BA27" s="200">
        <f t="shared" si="39"/>
        <v>-465.90000000000003</v>
      </c>
      <c r="BB27" s="54">
        <v>-153.80000000000001</v>
      </c>
      <c r="BC27" s="105">
        <v>-47.7</v>
      </c>
      <c r="BD27" s="105">
        <v>-66.599999999999994</v>
      </c>
      <c r="BE27" s="95">
        <v>-64.900000000000006</v>
      </c>
      <c r="BF27" s="708">
        <f t="shared" ref="BF27:BF28" si="43">SUM(BB27:BE27)</f>
        <v>-333</v>
      </c>
      <c r="BG27" s="54">
        <v>-57.1</v>
      </c>
      <c r="BH27" s="54">
        <v>-60.5</v>
      </c>
      <c r="BI27" s="105">
        <v>-54.7</v>
      </c>
      <c r="BJ27" s="95">
        <v>-6.5</v>
      </c>
      <c r="BK27" s="693">
        <f t="shared" ref="BK27:BK28" si="44">SUM(BG27:BJ27)</f>
        <v>-178.8</v>
      </c>
      <c r="BL27" s="54">
        <v>-76.8</v>
      </c>
      <c r="BM27" s="54">
        <v>-130.69999999999999</v>
      </c>
      <c r="BN27" s="105">
        <v>-209.3</v>
      </c>
      <c r="BO27" s="95">
        <f>-649.9-BN27-BM27-BL27</f>
        <v>-233.09999999999997</v>
      </c>
      <c r="BP27" s="819">
        <f t="shared" ref="BP27:BP29" si="45">SUM(BL27:BO27)</f>
        <v>-649.9</v>
      </c>
      <c r="BQ27" s="831">
        <v>-255.7</v>
      </c>
      <c r="BR27" s="54">
        <v>-300.7</v>
      </c>
      <c r="BS27" s="105">
        <v>-399</v>
      </c>
      <c r="BT27" s="105">
        <v>-126.5</v>
      </c>
      <c r="BU27" s="906">
        <f>SUM(BQ27:BT27)</f>
        <v>-1081.9000000000001</v>
      </c>
      <c r="BV27" s="831">
        <v>-201.3</v>
      </c>
      <c r="BW27" s="54">
        <v>-267.10000000000002</v>
      </c>
      <c r="BX27" s="105"/>
      <c r="BY27" s="105"/>
      <c r="BZ27" s="906">
        <f>SUM(BV27:BY27)</f>
        <v>-468.40000000000003</v>
      </c>
      <c r="CA27" s="839"/>
      <c r="CB27" s="959"/>
      <c r="CC27" s="840"/>
      <c r="CD27" s="927"/>
      <c r="CE27" s="927"/>
      <c r="CF27" s="410"/>
      <c r="CG27" s="839"/>
      <c r="CH27" s="839"/>
      <c r="CI27" s="929"/>
      <c r="CK27" s="929"/>
    </row>
    <row r="28" spans="1:89" ht="30" customHeight="1">
      <c r="A28" s="49" t="s">
        <v>77</v>
      </c>
      <c r="B28" s="115" t="s">
        <v>78</v>
      </c>
      <c r="C28" s="54">
        <v>0.7</v>
      </c>
      <c r="D28" s="54">
        <v>0.8</v>
      </c>
      <c r="E28" s="54">
        <v>0.5</v>
      </c>
      <c r="F28" s="54">
        <v>0.8</v>
      </c>
      <c r="G28" s="200">
        <f t="shared" ref="G28" si="46">SUM(C28:F28)</f>
        <v>2.8</v>
      </c>
      <c r="H28" s="55">
        <v>0.8</v>
      </c>
      <c r="I28" s="54">
        <v>0.8</v>
      </c>
      <c r="J28" s="54">
        <v>0.7</v>
      </c>
      <c r="K28" s="54">
        <v>0.6</v>
      </c>
      <c r="L28" s="200">
        <f t="shared" ref="L28" si="47">SUM(H28:K28)</f>
        <v>2.9</v>
      </c>
      <c r="M28" s="55">
        <v>0.60000000000000009</v>
      </c>
      <c r="N28" s="54">
        <v>0.7</v>
      </c>
      <c r="O28" s="54">
        <v>0.7</v>
      </c>
      <c r="P28" s="54">
        <v>0.6</v>
      </c>
      <c r="Q28" s="200">
        <f t="shared" ref="Q28" si="48">SUM(M28:P28)</f>
        <v>2.6</v>
      </c>
      <c r="R28" s="54">
        <v>0.5</v>
      </c>
      <c r="S28" s="54">
        <v>0.9</v>
      </c>
      <c r="T28" s="54">
        <v>0.5</v>
      </c>
      <c r="U28" s="52">
        <v>0.70000000000000018</v>
      </c>
      <c r="V28" s="200">
        <v>2.6</v>
      </c>
      <c r="W28" s="56">
        <v>0.8</v>
      </c>
      <c r="X28" s="56">
        <v>-0.8</v>
      </c>
      <c r="Y28" s="46">
        <v>0</v>
      </c>
      <c r="Z28" s="46">
        <v>0</v>
      </c>
      <c r="AA28" s="200">
        <f t="shared" ref="AA28" si="49">SUM(W28:Z28)</f>
        <v>0</v>
      </c>
      <c r="AB28" s="46">
        <v>0</v>
      </c>
      <c r="AC28" s="46">
        <v>0</v>
      </c>
      <c r="AD28" s="46">
        <v>0</v>
      </c>
      <c r="AE28" s="46">
        <v>0</v>
      </c>
      <c r="AF28" s="200">
        <f t="shared" ref="AF28:AF29" si="50">SUM(AB28:AE28)</f>
        <v>0</v>
      </c>
      <c r="AG28" s="46">
        <v>0</v>
      </c>
      <c r="AH28" s="46">
        <v>0</v>
      </c>
      <c r="AI28" s="46">
        <v>0</v>
      </c>
      <c r="AJ28" s="46">
        <v>0</v>
      </c>
      <c r="AK28" s="200">
        <f t="shared" si="36"/>
        <v>0</v>
      </c>
      <c r="AL28" s="500"/>
      <c r="AM28" s="71">
        <v>0</v>
      </c>
      <c r="AN28" s="46">
        <v>0</v>
      </c>
      <c r="AO28" s="46">
        <v>0</v>
      </c>
      <c r="AP28" s="46">
        <v>0</v>
      </c>
      <c r="AQ28" s="200">
        <f t="shared" si="37"/>
        <v>0</v>
      </c>
      <c r="AR28" s="71">
        <v>0</v>
      </c>
      <c r="AS28" s="46">
        <v>0</v>
      </c>
      <c r="AT28" s="46">
        <v>0</v>
      </c>
      <c r="AU28" s="46">
        <v>0</v>
      </c>
      <c r="AV28" s="200">
        <f t="shared" si="38"/>
        <v>0</v>
      </c>
      <c r="AW28" s="71">
        <v>0</v>
      </c>
      <c r="AX28" s="46">
        <v>0</v>
      </c>
      <c r="AY28" s="46">
        <v>0</v>
      </c>
      <c r="AZ28" s="46">
        <v>0</v>
      </c>
      <c r="BA28" s="200">
        <f t="shared" si="39"/>
        <v>0</v>
      </c>
      <c r="BB28" s="46">
        <v>0</v>
      </c>
      <c r="BC28" s="46">
        <v>0</v>
      </c>
      <c r="BD28" s="46">
        <v>0</v>
      </c>
      <c r="BE28" s="46">
        <v>0</v>
      </c>
      <c r="BF28" s="708">
        <f t="shared" si="43"/>
        <v>0</v>
      </c>
      <c r="BG28" s="46">
        <v>0</v>
      </c>
      <c r="BH28" s="46">
        <v>0</v>
      </c>
      <c r="BI28" s="46">
        <v>0</v>
      </c>
      <c r="BJ28" s="46">
        <v>0</v>
      </c>
      <c r="BK28" s="693">
        <f t="shared" si="44"/>
        <v>0</v>
      </c>
      <c r="BL28" s="46">
        <v>0</v>
      </c>
      <c r="BM28" s="46">
        <v>0</v>
      </c>
      <c r="BN28" s="46">
        <v>0</v>
      </c>
      <c r="BO28" s="46">
        <v>0</v>
      </c>
      <c r="BP28" s="819">
        <f t="shared" si="45"/>
        <v>0</v>
      </c>
      <c r="BQ28" s="861">
        <v>0</v>
      </c>
      <c r="BR28" s="46">
        <v>0</v>
      </c>
      <c r="BS28" s="46">
        <v>0</v>
      </c>
      <c r="BT28" s="46">
        <v>0</v>
      </c>
      <c r="BU28" s="906">
        <f>SUM(BQ28:BT28)</f>
        <v>0</v>
      </c>
      <c r="BV28" s="861">
        <v>0</v>
      </c>
      <c r="BW28" s="46">
        <v>0</v>
      </c>
      <c r="BX28" s="46"/>
      <c r="BY28" s="46"/>
      <c r="BZ28" s="906">
        <f>SUM(BV28:BY28)</f>
        <v>0</v>
      </c>
      <c r="CA28" s="839"/>
      <c r="CB28" s="959"/>
      <c r="CC28" s="840"/>
      <c r="CD28" s="927"/>
      <c r="CE28" s="927"/>
      <c r="CF28" s="410"/>
      <c r="CG28" s="839"/>
      <c r="CH28" s="839"/>
      <c r="CI28" s="929"/>
      <c r="CK28" s="929"/>
    </row>
    <row r="29" spans="1:89" ht="30" customHeight="1">
      <c r="A29" s="49" t="s">
        <v>79</v>
      </c>
      <c r="B29" s="115" t="s">
        <v>80</v>
      </c>
      <c r="C29" s="54"/>
      <c r="D29" s="54"/>
      <c r="E29" s="54"/>
      <c r="F29" s="54"/>
      <c r="G29" s="200"/>
      <c r="H29" s="55"/>
      <c r="I29" s="54"/>
      <c r="J29" s="54"/>
      <c r="K29" s="54"/>
      <c r="L29" s="200"/>
      <c r="M29" s="55"/>
      <c r="N29" s="54"/>
      <c r="O29" s="54"/>
      <c r="P29" s="54"/>
      <c r="Q29" s="200"/>
      <c r="R29" s="54"/>
      <c r="S29" s="54"/>
      <c r="T29" s="54"/>
      <c r="U29" s="52"/>
      <c r="V29" s="200"/>
      <c r="W29" s="56"/>
      <c r="X29" s="56"/>
      <c r="Y29" s="46"/>
      <c r="Z29" s="46"/>
      <c r="AA29" s="200"/>
      <c r="AB29" s="46"/>
      <c r="AC29" s="46"/>
      <c r="AD29" s="46"/>
      <c r="AE29" s="46">
        <v>2.8</v>
      </c>
      <c r="AF29" s="200">
        <f t="shared" si="50"/>
        <v>2.8</v>
      </c>
      <c r="AG29" s="46">
        <v>5.2</v>
      </c>
      <c r="AH29" s="75">
        <v>-0.1</v>
      </c>
      <c r="AI29" s="75">
        <v>-3.5</v>
      </c>
      <c r="AJ29" s="36">
        <v>-2.8</v>
      </c>
      <c r="AK29" s="200">
        <f t="shared" ref="AK29" si="51">SUM(AG29:AJ29)</f>
        <v>-1.1999999999999993</v>
      </c>
      <c r="AL29" s="497"/>
      <c r="AM29" s="71">
        <v>5.2</v>
      </c>
      <c r="AN29" s="75">
        <v>-0.1</v>
      </c>
      <c r="AO29" s="75">
        <v>-3.5</v>
      </c>
      <c r="AP29" s="46">
        <v>-2.8</v>
      </c>
      <c r="AQ29" s="200">
        <f t="shared" ref="AQ29" si="52">SUM(AM29:AP29)</f>
        <v>-1.1999999999999993</v>
      </c>
      <c r="AR29" s="71">
        <v>-1.7</v>
      </c>
      <c r="AS29" s="75">
        <v>-1.9</v>
      </c>
      <c r="AT29" s="75">
        <v>-1.3</v>
      </c>
      <c r="AU29" s="46">
        <v>-1.6</v>
      </c>
      <c r="AV29" s="200">
        <f>SUM(AR29:AU29)</f>
        <v>-6.5</v>
      </c>
      <c r="AW29" s="71">
        <v>-1.7</v>
      </c>
      <c r="AX29" s="75">
        <v>-1.9</v>
      </c>
      <c r="AY29" s="75">
        <v>-1.3</v>
      </c>
      <c r="AZ29" s="46">
        <v>-1.6</v>
      </c>
      <c r="BA29" s="200">
        <f>SUM(AW29:AZ29)</f>
        <v>-6.5</v>
      </c>
      <c r="BB29" s="54">
        <v>16.3</v>
      </c>
      <c r="BC29" s="75">
        <v>17.8</v>
      </c>
      <c r="BD29" s="75">
        <v>13.5</v>
      </c>
      <c r="BE29" s="46">
        <v>-45.6</v>
      </c>
      <c r="BF29" s="708">
        <f>SUM(BB29:BE29)</f>
        <v>2</v>
      </c>
      <c r="BG29" s="54">
        <v>16.5</v>
      </c>
      <c r="BH29" s="54">
        <v>25</v>
      </c>
      <c r="BI29" s="75">
        <v>22.5</v>
      </c>
      <c r="BJ29" s="75">
        <v>11.4</v>
      </c>
      <c r="BK29" s="693">
        <f>SUM(BG29:BJ29)</f>
        <v>75.400000000000006</v>
      </c>
      <c r="BL29" s="54">
        <v>14.7</v>
      </c>
      <c r="BM29" s="54">
        <v>24.2</v>
      </c>
      <c r="BN29" s="75">
        <v>23.8</v>
      </c>
      <c r="BO29" s="75">
        <f>94.5-BN29-BM29-BL29</f>
        <v>31.8</v>
      </c>
      <c r="BP29" s="819">
        <f t="shared" si="45"/>
        <v>94.5</v>
      </c>
      <c r="BQ29" s="831">
        <v>20.3</v>
      </c>
      <c r="BR29" s="54">
        <v>-9.9</v>
      </c>
      <c r="BS29" s="46">
        <v>19.3</v>
      </c>
      <c r="BT29" s="46">
        <v>0</v>
      </c>
      <c r="BU29" s="906">
        <f t="shared" ref="BU29" si="53">SUM(BQ29:BT29)</f>
        <v>29.700000000000003</v>
      </c>
      <c r="BV29" s="861">
        <v>0</v>
      </c>
      <c r="BW29" s="54">
        <v>0.1</v>
      </c>
      <c r="BX29" s="46"/>
      <c r="BY29" s="46"/>
      <c r="BZ29" s="906">
        <f t="shared" ref="BZ29" si="54">SUM(BV29:BY29)</f>
        <v>0.1</v>
      </c>
      <c r="CA29" s="839"/>
      <c r="CB29" s="959"/>
      <c r="CC29" s="840"/>
      <c r="CD29" s="927"/>
      <c r="CE29" s="927"/>
      <c r="CF29" s="410"/>
      <c r="CG29" s="839"/>
      <c r="CH29" s="839"/>
      <c r="CI29" s="929"/>
      <c r="CK29" s="929"/>
    </row>
    <row r="30" spans="1:89" s="410" customFormat="1" ht="22.5" customHeight="1">
      <c r="A30" s="403" t="s">
        <v>81</v>
      </c>
      <c r="B30" s="404" t="s">
        <v>82</v>
      </c>
      <c r="C30" s="405">
        <f t="shared" ref="C30:AD30" si="55">C25+C26+C27+C28+C29</f>
        <v>246.30000000000004</v>
      </c>
      <c r="D30" s="405">
        <f t="shared" si="55"/>
        <v>112.89999999999996</v>
      </c>
      <c r="E30" s="405">
        <f t="shared" si="55"/>
        <v>198.20000000000005</v>
      </c>
      <c r="F30" s="405">
        <f t="shared" si="55"/>
        <v>138.20000000000019</v>
      </c>
      <c r="G30" s="406">
        <f t="shared" si="55"/>
        <v>695.59999999999911</v>
      </c>
      <c r="H30" s="407">
        <f t="shared" si="55"/>
        <v>109.27999999999996</v>
      </c>
      <c r="I30" s="405">
        <f t="shared" si="55"/>
        <v>94.09999999999998</v>
      </c>
      <c r="J30" s="405">
        <f t="shared" si="55"/>
        <v>200.79999999999998</v>
      </c>
      <c r="K30" s="405">
        <f t="shared" si="55"/>
        <v>188.69999999999993</v>
      </c>
      <c r="L30" s="406">
        <f t="shared" si="55"/>
        <v>592.88000000000034</v>
      </c>
      <c r="M30" s="407">
        <f t="shared" si="55"/>
        <v>112.59999999999977</v>
      </c>
      <c r="N30" s="405">
        <f t="shared" si="55"/>
        <v>148.7999999999999</v>
      </c>
      <c r="O30" s="405">
        <f t="shared" si="55"/>
        <v>49.299999999999685</v>
      </c>
      <c r="P30" s="405">
        <f t="shared" si="55"/>
        <v>3.5000000000007732</v>
      </c>
      <c r="Q30" s="406">
        <f t="shared" si="55"/>
        <v>314.19999999999925</v>
      </c>
      <c r="R30" s="405">
        <f t="shared" si="55"/>
        <v>196.79999999999995</v>
      </c>
      <c r="S30" s="405">
        <f t="shared" si="55"/>
        <v>350.4</v>
      </c>
      <c r="T30" s="405">
        <f t="shared" si="55"/>
        <v>613.29999999999961</v>
      </c>
      <c r="U30" s="405">
        <f t="shared" si="55"/>
        <v>171.90000000000038</v>
      </c>
      <c r="V30" s="406">
        <f t="shared" si="55"/>
        <v>1332.3999999999994</v>
      </c>
      <c r="W30" s="405">
        <f t="shared" si="55"/>
        <v>205.70000000000005</v>
      </c>
      <c r="X30" s="405">
        <f t="shared" si="55"/>
        <v>252.10000000000014</v>
      </c>
      <c r="Y30" s="408">
        <f t="shared" si="55"/>
        <v>334.90000000000038</v>
      </c>
      <c r="Z30" s="408">
        <f t="shared" si="55"/>
        <v>240.69999999999996</v>
      </c>
      <c r="AA30" s="406">
        <f t="shared" si="55"/>
        <v>1033.4000000000001</v>
      </c>
      <c r="AB30" s="405">
        <f t="shared" si="55"/>
        <v>302.20000000000033</v>
      </c>
      <c r="AC30" s="405">
        <f t="shared" si="55"/>
        <v>389.2999999999999</v>
      </c>
      <c r="AD30" s="405">
        <f t="shared" si="55"/>
        <v>289.10000000000002</v>
      </c>
      <c r="AE30" s="405">
        <f>AE25+AE26+AE27+AE28+AE29</f>
        <v>354.40000000000003</v>
      </c>
      <c r="AF30" s="406">
        <f t="shared" ref="AF30:AJ30" si="56">AF25+AF26+AF27+AF28+AF29</f>
        <v>1335.0000000000007</v>
      </c>
      <c r="AG30" s="405">
        <f t="shared" si="56"/>
        <v>393.49999999999972</v>
      </c>
      <c r="AH30" s="405">
        <f>AH25+AH26+AH27+AH28+AH29</f>
        <v>355.19999999999987</v>
      </c>
      <c r="AI30" s="405">
        <f>AI25+AI26+AI27+AI28+AI29</f>
        <v>304.30000000000007</v>
      </c>
      <c r="AJ30" s="409">
        <f t="shared" si="56"/>
        <v>304.59999999999997</v>
      </c>
      <c r="AK30" s="406">
        <f>AK25+AK26+AK27+AK28+AK29</f>
        <v>1357.5999999999997</v>
      </c>
      <c r="AL30" s="411"/>
      <c r="AM30" s="407">
        <f t="shared" ref="AM30:AO30" si="57">AM25+AM26+AM27+AM28+AM29</f>
        <v>364.7</v>
      </c>
      <c r="AN30" s="405">
        <f t="shared" si="57"/>
        <v>330.69999999999982</v>
      </c>
      <c r="AO30" s="405">
        <f t="shared" si="57"/>
        <v>303.0999999999998</v>
      </c>
      <c r="AP30" s="409">
        <f>AP25+AP26+AP27+AP28+AP29</f>
        <v>307.59999999999997</v>
      </c>
      <c r="AQ30" s="406">
        <f>AQ25+AQ26+AQ27+AQ28+AQ29</f>
        <v>1306.1000000000029</v>
      </c>
      <c r="AR30" s="407">
        <f>AR25+AR26+AR27+AR28+AR29</f>
        <v>378.80000000000024</v>
      </c>
      <c r="AS30" s="405">
        <f t="shared" ref="AS30:AU30" si="58">AS25+AS26+AS27+AS28+AS29</f>
        <v>357</v>
      </c>
      <c r="AT30" s="405">
        <f t="shared" si="58"/>
        <v>318.99999999999972</v>
      </c>
      <c r="AU30" s="405">
        <f t="shared" si="58"/>
        <v>427.30000000000092</v>
      </c>
      <c r="AV30" s="406">
        <f>AV25+AV26+AV27+AV28+AV29</f>
        <v>1482.1000000000024</v>
      </c>
      <c r="AW30" s="407">
        <f>AW25+AW26+AW27+AW29+AW28</f>
        <v>374.59999999999951</v>
      </c>
      <c r="AX30" s="405">
        <f t="shared" ref="AX30:AZ30" si="59">AX25+AX26+AX27+AX28+AX29</f>
        <v>355.39999999999975</v>
      </c>
      <c r="AY30" s="405">
        <f t="shared" si="59"/>
        <v>305.99999999999983</v>
      </c>
      <c r="AZ30" s="405">
        <f t="shared" si="59"/>
        <v>431.60000000000019</v>
      </c>
      <c r="BA30" s="406">
        <f>BA25+BA26+BA27+BA28+BA29</f>
        <v>1467.600000000001</v>
      </c>
      <c r="BB30" s="407">
        <f>BB25+BB26+BB27+BB29+BB28</f>
        <v>250.48882651999986</v>
      </c>
      <c r="BC30" s="405">
        <f t="shared" ref="BC30:BE30" si="60">BC25+BC26+BC27+BC28+BC29</f>
        <v>363.00000000000085</v>
      </c>
      <c r="BD30" s="405">
        <f t="shared" si="60"/>
        <v>426.5999999999998</v>
      </c>
      <c r="BE30" s="405">
        <f t="shared" si="60"/>
        <v>402.00000000000011</v>
      </c>
      <c r="BF30" s="692">
        <f>BF25+BF26+BF27+BF28+BF29</f>
        <v>1442.0888265199992</v>
      </c>
      <c r="BG30" s="407">
        <f>BG25+BG26+BG27+BG29+BG28</f>
        <v>498.5</v>
      </c>
      <c r="BH30" s="405">
        <f t="shared" ref="BH30:BJ30" si="61">BH25+BH26+BH27+BH28+BH29</f>
        <v>655.99999999999989</v>
      </c>
      <c r="BI30" s="405">
        <f t="shared" si="61"/>
        <v>4082.7000000000007</v>
      </c>
      <c r="BJ30" s="405">
        <f t="shared" si="61"/>
        <v>428.89999999999964</v>
      </c>
      <c r="BK30" s="692">
        <f>BK25+BK26+BK27+BK28+BK29</f>
        <v>5666.0999999999985</v>
      </c>
      <c r="BL30" s="407">
        <f>BL25+BL26+BL27+BL29+BL28</f>
        <v>265.09999999999997</v>
      </c>
      <c r="BM30" s="405">
        <f t="shared" ref="BM30:BO30" si="62">BM25+BM26+BM27+BM28+BM29</f>
        <v>324.99999999999983</v>
      </c>
      <c r="BN30" s="405">
        <f t="shared" si="62"/>
        <v>297.30000000000075</v>
      </c>
      <c r="BO30" s="405">
        <f t="shared" si="62"/>
        <v>222.89999999999895</v>
      </c>
      <c r="BP30" s="823">
        <f>BP25+BP26+BP27+BP28+BP29</f>
        <v>1110.3000000000002</v>
      </c>
      <c r="BQ30" s="835">
        <f>BQ25+BQ26+BQ27+BQ29+BQ28</f>
        <v>84.100000000000577</v>
      </c>
      <c r="BR30" s="835">
        <f>BR25+BR26+BR27+BR29+BR28</f>
        <v>40.200000000000195</v>
      </c>
      <c r="BS30" s="405">
        <f t="shared" ref="BS30:BT30" si="63">BS25+BS26+BS27+BS28+BS29</f>
        <v>171.10000000000042</v>
      </c>
      <c r="BT30" s="405">
        <f t="shared" si="63"/>
        <v>126.4000000000002</v>
      </c>
      <c r="BU30" s="911">
        <f>BU25+BU26+BU27+BU28+BU29</f>
        <v>421.80000000000194</v>
      </c>
      <c r="BV30" s="835">
        <f>BV25+BV26+BV27+BV29+BV28</f>
        <v>270.59862972000099</v>
      </c>
      <c r="BW30" s="835">
        <f>BW25+BW26+BW27+BW29+BW28</f>
        <v>213.20000000000041</v>
      </c>
      <c r="BX30" s="405"/>
      <c r="BY30" s="405"/>
      <c r="BZ30" s="911">
        <f>BZ25+BZ26+BZ27+BZ28+BZ29</f>
        <v>483.79862972000097</v>
      </c>
      <c r="CA30" s="839"/>
      <c r="CB30" s="959"/>
      <c r="CC30" s="840"/>
      <c r="CD30" s="927"/>
      <c r="CE30" s="927"/>
      <c r="CG30" s="839"/>
      <c r="CH30" s="839"/>
      <c r="CI30" s="929"/>
      <c r="CK30" s="929"/>
    </row>
    <row r="31" spans="1:89" ht="20.149999999999999" customHeight="1">
      <c r="A31" s="49" t="s">
        <v>83</v>
      </c>
      <c r="B31" s="412" t="s">
        <v>84</v>
      </c>
      <c r="C31" s="54">
        <v>-41.2</v>
      </c>
      <c r="D31" s="54">
        <v>-13.4</v>
      </c>
      <c r="E31" s="54">
        <v>-26.2</v>
      </c>
      <c r="F31" s="54">
        <v>-16.600000000000001</v>
      </c>
      <c r="G31" s="200">
        <f>SUM(C31:F31)</f>
        <v>-97.4</v>
      </c>
      <c r="H31" s="55">
        <v>-14.1</v>
      </c>
      <c r="I31" s="54">
        <v>-13.4</v>
      </c>
      <c r="J31" s="54">
        <v>-24.4</v>
      </c>
      <c r="K31" s="54">
        <v>-15.5</v>
      </c>
      <c r="L31" s="200">
        <f>SUM(H31:K31)</f>
        <v>-67.400000000000006</v>
      </c>
      <c r="M31" s="55">
        <v>-14.400000000000002</v>
      </c>
      <c r="N31" s="54">
        <v>-16.7</v>
      </c>
      <c r="O31" s="54">
        <v>-1.1000000000000001</v>
      </c>
      <c r="P31" s="54">
        <v>10.5</v>
      </c>
      <c r="Q31" s="200">
        <f>SUM(M31:P31)</f>
        <v>-21.700000000000003</v>
      </c>
      <c r="R31" s="54">
        <v>-26</v>
      </c>
      <c r="S31" s="54">
        <v>-45.9</v>
      </c>
      <c r="T31" s="54">
        <v>-110.8</v>
      </c>
      <c r="U31" s="56">
        <v>13.7</v>
      </c>
      <c r="V31" s="200">
        <v>-169</v>
      </c>
      <c r="W31" s="56">
        <v>-27.2</v>
      </c>
      <c r="X31" s="56">
        <v>-21.2</v>
      </c>
      <c r="Y31" s="36">
        <v>-65.099999999999994</v>
      </c>
      <c r="Z31" s="56">
        <v>101.1</v>
      </c>
      <c r="AA31" s="200">
        <f t="shared" si="7"/>
        <v>-12.400000000000006</v>
      </c>
      <c r="AB31" s="56">
        <v>-30.8</v>
      </c>
      <c r="AC31" s="56">
        <v>-107.6</v>
      </c>
      <c r="AD31" s="36">
        <v>-54.2</v>
      </c>
      <c r="AE31" s="56">
        <v>-197.2</v>
      </c>
      <c r="AF31" s="200">
        <f t="shared" si="8"/>
        <v>-389.8</v>
      </c>
      <c r="AG31" s="56">
        <v>-78</v>
      </c>
      <c r="AH31" s="56">
        <v>-102.1</v>
      </c>
      <c r="AI31" s="84">
        <v>-77.3</v>
      </c>
      <c r="AJ31" s="56">
        <v>-246.74845572261776</v>
      </c>
      <c r="AK31" s="200">
        <f>SUM(AG31:AJ31)</f>
        <v>-504.14845572261777</v>
      </c>
      <c r="AL31" s="497"/>
      <c r="AM31" s="102">
        <v>-72.5</v>
      </c>
      <c r="AN31" s="56">
        <v>-99.3</v>
      </c>
      <c r="AO31" s="808">
        <v>-76</v>
      </c>
      <c r="AP31" s="56">
        <v>-242.2</v>
      </c>
      <c r="AQ31" s="200">
        <f>SUM(AM31:AP31)</f>
        <v>-490</v>
      </c>
      <c r="AR31" s="102">
        <v>-78</v>
      </c>
      <c r="AS31" s="56">
        <v>-86.9</v>
      </c>
      <c r="AT31" s="56">
        <v>-72</v>
      </c>
      <c r="AU31" s="56">
        <v>-118.9</v>
      </c>
      <c r="AV31" s="200">
        <f>SUM(AR31:AU31)</f>
        <v>-355.8</v>
      </c>
      <c r="AW31" s="102">
        <v>-77.3</v>
      </c>
      <c r="AX31" s="56">
        <v>-86.5</v>
      </c>
      <c r="AY31" s="808">
        <v>-69.5</v>
      </c>
      <c r="AZ31" s="56">
        <v>-119.7</v>
      </c>
      <c r="BA31" s="200">
        <f>SUM(AW31:AZ31)</f>
        <v>-353</v>
      </c>
      <c r="BB31" s="102">
        <v>-66.7</v>
      </c>
      <c r="BC31" s="56">
        <v>-72.3</v>
      </c>
      <c r="BD31" s="808">
        <v>-81.599999999999994</v>
      </c>
      <c r="BE31" s="56">
        <v>-75.3</v>
      </c>
      <c r="BF31" s="708">
        <f>SUM(BB31:BE31)</f>
        <v>-295.89999999999998</v>
      </c>
      <c r="BG31" s="102">
        <v>-108.1</v>
      </c>
      <c r="BH31" s="54">
        <v>-114.3</v>
      </c>
      <c r="BI31" s="54">
        <v>-934</v>
      </c>
      <c r="BJ31" s="54">
        <v>-95.2</v>
      </c>
      <c r="BK31" s="693">
        <f>SUM(BG31:BJ31)</f>
        <v>-1251.6000000000001</v>
      </c>
      <c r="BL31" s="102">
        <v>-52.3</v>
      </c>
      <c r="BM31" s="54">
        <v>-42.3</v>
      </c>
      <c r="BN31" s="105">
        <v>-66.2</v>
      </c>
      <c r="BO31" s="54">
        <f>-209.2-BN31-BM31-BL31</f>
        <v>-48.400000000000006</v>
      </c>
      <c r="BP31" s="819">
        <f>SUM(BL31:BO31)</f>
        <v>-209.20000000000002</v>
      </c>
      <c r="BQ31" s="831">
        <v>-13.1</v>
      </c>
      <c r="BR31" s="54">
        <v>-32.1</v>
      </c>
      <c r="BS31" s="105">
        <v>-68.900000000000006</v>
      </c>
      <c r="BT31" s="105">
        <v>3.9</v>
      </c>
      <c r="BU31" s="906">
        <f>SUM(BQ31:BT31)</f>
        <v>-110.2</v>
      </c>
      <c r="BV31" s="831">
        <v>-86.3</v>
      </c>
      <c r="BW31" s="54">
        <v>-37.700000000000003</v>
      </c>
      <c r="BX31" s="105"/>
      <c r="BY31" s="105"/>
      <c r="BZ31" s="906">
        <f>SUM(BV31:BY31)</f>
        <v>-124</v>
      </c>
      <c r="CA31" s="839"/>
      <c r="CB31" s="959"/>
      <c r="CC31" s="840"/>
      <c r="CD31" s="927"/>
      <c r="CE31" s="927"/>
      <c r="CF31" s="410"/>
      <c r="CG31" s="840"/>
      <c r="CH31" s="839"/>
      <c r="CI31" s="929"/>
      <c r="CK31" s="929"/>
    </row>
    <row r="32" spans="1:89" s="410" customFormat="1" ht="22.5" customHeight="1">
      <c r="A32" s="403" t="s">
        <v>85</v>
      </c>
      <c r="B32" s="404" t="s">
        <v>86</v>
      </c>
      <c r="C32" s="405">
        <f t="shared" ref="C32:AA32" si="64">C30+C31</f>
        <v>205.10000000000002</v>
      </c>
      <c r="D32" s="405">
        <f t="shared" si="64"/>
        <v>99.499999999999957</v>
      </c>
      <c r="E32" s="405">
        <f t="shared" si="64"/>
        <v>172.00000000000006</v>
      </c>
      <c r="F32" s="405">
        <f t="shared" si="64"/>
        <v>121.60000000000019</v>
      </c>
      <c r="G32" s="406">
        <f>G30+G31</f>
        <v>598.19999999999914</v>
      </c>
      <c r="H32" s="407">
        <f t="shared" si="64"/>
        <v>95.179999999999964</v>
      </c>
      <c r="I32" s="405">
        <f t="shared" si="64"/>
        <v>80.699999999999974</v>
      </c>
      <c r="J32" s="405">
        <f t="shared" si="64"/>
        <v>176.39999999999998</v>
      </c>
      <c r="K32" s="405">
        <f t="shared" si="64"/>
        <v>173.19999999999993</v>
      </c>
      <c r="L32" s="406">
        <f t="shared" si="64"/>
        <v>525.48000000000036</v>
      </c>
      <c r="M32" s="407">
        <f t="shared" si="64"/>
        <v>98.199999999999761</v>
      </c>
      <c r="N32" s="405">
        <f t="shared" si="64"/>
        <v>132.09999999999991</v>
      </c>
      <c r="O32" s="405">
        <f t="shared" si="64"/>
        <v>48.199999999999683</v>
      </c>
      <c r="P32" s="405">
        <f t="shared" si="64"/>
        <v>14.000000000000773</v>
      </c>
      <c r="Q32" s="406">
        <f t="shared" si="64"/>
        <v>292.49999999999926</v>
      </c>
      <c r="R32" s="405">
        <f t="shared" si="64"/>
        <v>170.79999999999995</v>
      </c>
      <c r="S32" s="405">
        <f t="shared" si="64"/>
        <v>304.5</v>
      </c>
      <c r="T32" s="405">
        <f t="shared" si="64"/>
        <v>502.4999999999996</v>
      </c>
      <c r="U32" s="405">
        <f t="shared" si="64"/>
        <v>185.60000000000036</v>
      </c>
      <c r="V32" s="406">
        <f t="shared" si="64"/>
        <v>1163.3999999999994</v>
      </c>
      <c r="W32" s="405">
        <f t="shared" si="64"/>
        <v>178.50000000000006</v>
      </c>
      <c r="X32" s="405">
        <f t="shared" si="64"/>
        <v>230.90000000000015</v>
      </c>
      <c r="Y32" s="408">
        <f t="shared" si="64"/>
        <v>269.80000000000041</v>
      </c>
      <c r="Z32" s="408">
        <f t="shared" si="64"/>
        <v>341.79999999999995</v>
      </c>
      <c r="AA32" s="406">
        <f t="shared" si="64"/>
        <v>1021.0000000000001</v>
      </c>
      <c r="AB32" s="405">
        <f t="shared" ref="AB32:AK32" si="65">AB30+AB31</f>
        <v>271.40000000000032</v>
      </c>
      <c r="AC32" s="405">
        <f t="shared" si="65"/>
        <v>281.69999999999993</v>
      </c>
      <c r="AD32" s="405">
        <f t="shared" si="65"/>
        <v>234.90000000000003</v>
      </c>
      <c r="AE32" s="405">
        <f t="shared" si="65"/>
        <v>157.20000000000005</v>
      </c>
      <c r="AF32" s="406">
        <f t="shared" si="65"/>
        <v>945.20000000000073</v>
      </c>
      <c r="AG32" s="405">
        <f t="shared" si="65"/>
        <v>315.49999999999972</v>
      </c>
      <c r="AH32" s="405">
        <f t="shared" si="65"/>
        <v>253.09999999999988</v>
      </c>
      <c r="AI32" s="405">
        <f t="shared" si="65"/>
        <v>227.00000000000006</v>
      </c>
      <c r="AJ32" s="409">
        <f t="shared" si="65"/>
        <v>57.851544277382203</v>
      </c>
      <c r="AK32" s="406">
        <f t="shared" si="65"/>
        <v>853.45154427738191</v>
      </c>
      <c r="AL32" s="411"/>
      <c r="AM32" s="407">
        <f t="shared" ref="AM32:AU32" si="66">AM30+AM31</f>
        <v>292.2</v>
      </c>
      <c r="AN32" s="405">
        <f t="shared" si="66"/>
        <v>231.39999999999981</v>
      </c>
      <c r="AO32" s="405">
        <f t="shared" si="66"/>
        <v>227.0999999999998</v>
      </c>
      <c r="AP32" s="409">
        <f t="shared" si="66"/>
        <v>65.399999999999977</v>
      </c>
      <c r="AQ32" s="406">
        <f t="shared" si="66"/>
        <v>816.10000000000286</v>
      </c>
      <c r="AR32" s="407">
        <f>AR30+AR31</f>
        <v>300.80000000000024</v>
      </c>
      <c r="AS32" s="405">
        <f t="shared" si="66"/>
        <v>270.10000000000002</v>
      </c>
      <c r="AT32" s="405">
        <f t="shared" si="66"/>
        <v>246.99999999999972</v>
      </c>
      <c r="AU32" s="405">
        <f t="shared" si="66"/>
        <v>308.40000000000089</v>
      </c>
      <c r="AV32" s="406">
        <f t="shared" ref="AV32" si="67">AV30+AV31</f>
        <v>1126.3000000000025</v>
      </c>
      <c r="AW32" s="407">
        <f t="shared" ref="AW32:AZ32" si="68">AW30+AW31</f>
        <v>297.2999999999995</v>
      </c>
      <c r="AX32" s="405">
        <f t="shared" si="68"/>
        <v>268.89999999999975</v>
      </c>
      <c r="AY32" s="405">
        <f t="shared" si="68"/>
        <v>236.49999999999983</v>
      </c>
      <c r="AZ32" s="405">
        <f t="shared" si="68"/>
        <v>311.9000000000002</v>
      </c>
      <c r="BA32" s="406">
        <f t="shared" ref="BA32" si="69">BA30+BA31</f>
        <v>1114.600000000001</v>
      </c>
      <c r="BB32" s="407">
        <f t="shared" ref="BB32:BF32" si="70">BB30+BB31</f>
        <v>183.78882651999987</v>
      </c>
      <c r="BC32" s="405">
        <f t="shared" si="70"/>
        <v>290.70000000000084</v>
      </c>
      <c r="BD32" s="405">
        <f t="shared" si="70"/>
        <v>344.99999999999977</v>
      </c>
      <c r="BE32" s="405">
        <f t="shared" si="70"/>
        <v>326.7000000000001</v>
      </c>
      <c r="BF32" s="692">
        <f t="shared" si="70"/>
        <v>1146.1888265199991</v>
      </c>
      <c r="BG32" s="407">
        <f t="shared" ref="BG32:BK32" si="71">BG30+BG31</f>
        <v>390.4</v>
      </c>
      <c r="BH32" s="405">
        <f t="shared" si="71"/>
        <v>541.69999999999993</v>
      </c>
      <c r="BI32" s="405">
        <f t="shared" si="71"/>
        <v>3148.7000000000007</v>
      </c>
      <c r="BJ32" s="405">
        <f t="shared" si="71"/>
        <v>333.69999999999965</v>
      </c>
      <c r="BK32" s="692">
        <f t="shared" si="71"/>
        <v>4414.4999999999982</v>
      </c>
      <c r="BL32" s="407">
        <f>BL30+BL31</f>
        <v>212.79999999999995</v>
      </c>
      <c r="BM32" s="405">
        <f t="shared" ref="BM32:BP32" si="72">BM30+BM31</f>
        <v>282.69999999999982</v>
      </c>
      <c r="BN32" s="405">
        <f t="shared" si="72"/>
        <v>231.10000000000076</v>
      </c>
      <c r="BO32" s="405">
        <f t="shared" si="72"/>
        <v>174.49999999999895</v>
      </c>
      <c r="BP32" s="823">
        <f t="shared" si="72"/>
        <v>901.10000000000014</v>
      </c>
      <c r="BQ32" s="835">
        <f>BQ30+BQ31</f>
        <v>71.000000000000583</v>
      </c>
      <c r="BR32" s="405">
        <f t="shared" ref="BR32:BU32" si="73">BR30+BR31</f>
        <v>8.1000000000001933</v>
      </c>
      <c r="BS32" s="405">
        <f t="shared" si="73"/>
        <v>102.20000000000041</v>
      </c>
      <c r="BT32" s="405">
        <f t="shared" si="73"/>
        <v>130.30000000000021</v>
      </c>
      <c r="BU32" s="911">
        <f t="shared" si="73"/>
        <v>311.60000000000196</v>
      </c>
      <c r="BV32" s="835">
        <f>BV30+BV31</f>
        <v>184.29862972000097</v>
      </c>
      <c r="BW32" s="835">
        <f>BW30+BW31</f>
        <v>175.5000000000004</v>
      </c>
      <c r="BX32" s="405"/>
      <c r="BY32" s="405"/>
      <c r="BZ32" s="911">
        <f t="shared" ref="BZ32" si="74">BZ30+BZ31</f>
        <v>359.79862972000097</v>
      </c>
      <c r="CA32" s="839"/>
      <c r="CB32" s="959"/>
      <c r="CC32" s="840"/>
      <c r="CD32" s="927"/>
      <c r="CE32" s="960"/>
      <c r="CF32" s="927"/>
      <c r="CG32" s="839"/>
      <c r="CH32" s="839"/>
      <c r="CI32" s="930"/>
    </row>
    <row r="33" spans="1:16357" ht="30" customHeight="1">
      <c r="A33" s="49" t="s">
        <v>788</v>
      </c>
      <c r="B33" s="112" t="s">
        <v>87</v>
      </c>
      <c r="C33" s="54">
        <f>C32</f>
        <v>205.10000000000002</v>
      </c>
      <c r="D33" s="54">
        <f t="shared" ref="D33:V33" si="75">D32</f>
        <v>99.499999999999957</v>
      </c>
      <c r="E33" s="54">
        <f t="shared" si="75"/>
        <v>172.00000000000006</v>
      </c>
      <c r="F33" s="54">
        <f t="shared" si="75"/>
        <v>121.60000000000019</v>
      </c>
      <c r="G33" s="200">
        <f t="shared" si="75"/>
        <v>598.19999999999914</v>
      </c>
      <c r="H33" s="55">
        <f t="shared" si="75"/>
        <v>95.179999999999964</v>
      </c>
      <c r="I33" s="54">
        <f t="shared" si="75"/>
        <v>80.699999999999974</v>
      </c>
      <c r="J33" s="54">
        <f t="shared" si="75"/>
        <v>176.39999999999998</v>
      </c>
      <c r="K33" s="54">
        <f t="shared" si="75"/>
        <v>173.19999999999993</v>
      </c>
      <c r="L33" s="200">
        <f t="shared" si="75"/>
        <v>525.48000000000036</v>
      </c>
      <c r="M33" s="55">
        <f t="shared" si="75"/>
        <v>98.199999999999761</v>
      </c>
      <c r="N33" s="54">
        <f t="shared" si="75"/>
        <v>132.09999999999991</v>
      </c>
      <c r="O33" s="54">
        <f t="shared" si="75"/>
        <v>48.199999999999683</v>
      </c>
      <c r="P33" s="54">
        <f t="shared" si="75"/>
        <v>14.000000000000773</v>
      </c>
      <c r="Q33" s="200">
        <f t="shared" si="75"/>
        <v>292.49999999999926</v>
      </c>
      <c r="R33" s="54">
        <f t="shared" si="75"/>
        <v>170.79999999999995</v>
      </c>
      <c r="S33" s="54">
        <f t="shared" si="75"/>
        <v>304.5</v>
      </c>
      <c r="T33" s="54">
        <f t="shared" si="75"/>
        <v>502.4999999999996</v>
      </c>
      <c r="U33" s="57">
        <f t="shared" si="75"/>
        <v>185.60000000000036</v>
      </c>
      <c r="V33" s="200">
        <f t="shared" si="75"/>
        <v>1163.3999999999994</v>
      </c>
      <c r="W33" s="56">
        <v>175.5</v>
      </c>
      <c r="X33" s="56">
        <v>237.7</v>
      </c>
      <c r="Y33" s="36">
        <v>278.2</v>
      </c>
      <c r="Z33" s="57">
        <v>349.9</v>
      </c>
      <c r="AA33" s="200">
        <f t="shared" si="7"/>
        <v>1041.3</v>
      </c>
      <c r="AB33" s="56">
        <v>279.39999999999998</v>
      </c>
      <c r="AC33" s="56">
        <v>291.2</v>
      </c>
      <c r="AD33" s="36">
        <v>242.9</v>
      </c>
      <c r="AE33" s="36">
        <v>167.1</v>
      </c>
      <c r="AF33" s="200">
        <f t="shared" si="8"/>
        <v>980.59999999999991</v>
      </c>
      <c r="AG33" s="54"/>
      <c r="AH33" s="56"/>
      <c r="AI33" s="84"/>
      <c r="AJ33" s="36"/>
      <c r="AK33" s="200">
        <f t="shared" ref="AK33:AK34" si="76">SUM(AG33:AJ33)</f>
        <v>0</v>
      </c>
      <c r="AL33" s="497"/>
      <c r="AM33" s="72">
        <v>300.8</v>
      </c>
      <c r="AN33" s="56">
        <v>235.8</v>
      </c>
      <c r="AO33" s="56">
        <v>226.1</v>
      </c>
      <c r="AP33" s="36">
        <v>70.900000000000006</v>
      </c>
      <c r="AQ33" s="200">
        <f t="shared" ref="AQ33:AQ34" si="77">SUM(AM33:AP33)</f>
        <v>833.6</v>
      </c>
      <c r="AR33" s="72"/>
      <c r="AS33" s="56"/>
      <c r="AT33" s="56"/>
      <c r="AU33" s="36"/>
      <c r="AV33" s="200"/>
      <c r="AW33" s="72">
        <v>291.89999999999998</v>
      </c>
      <c r="AX33" s="56">
        <v>263.60000000000002</v>
      </c>
      <c r="AY33" s="56">
        <v>231.3</v>
      </c>
      <c r="AZ33" s="36">
        <v>313.8</v>
      </c>
      <c r="BA33" s="200">
        <f t="shared" ref="BA33:BA34" si="78">SUM(AW33:AZ33)</f>
        <v>1100.5999999999999</v>
      </c>
      <c r="BB33" s="72">
        <v>182.4</v>
      </c>
      <c r="BC33" s="56">
        <v>288.39999999999998</v>
      </c>
      <c r="BD33" s="413">
        <v>345.9</v>
      </c>
      <c r="BE33" s="36">
        <v>324.89999999999998</v>
      </c>
      <c r="BF33" s="708">
        <f>SUM(BB33:BE33)</f>
        <v>1141.5999999999999</v>
      </c>
      <c r="BG33" s="72">
        <v>389.6</v>
      </c>
      <c r="BH33" s="54">
        <v>539.29999999999995</v>
      </c>
      <c r="BI33" s="50">
        <v>3142.4</v>
      </c>
      <c r="BJ33" s="36">
        <v>337.5</v>
      </c>
      <c r="BK33" s="693">
        <f>SUM(BG33:BJ33)</f>
        <v>4408.8</v>
      </c>
      <c r="BL33" s="72">
        <v>214.9</v>
      </c>
      <c r="BM33" s="105">
        <v>288.89999999999998</v>
      </c>
      <c r="BN33" s="763">
        <v>236.7</v>
      </c>
      <c r="BO33" s="54">
        <f>900-BN33-BM33-BL33</f>
        <v>159.49999999999997</v>
      </c>
      <c r="BP33" s="821">
        <f>SUM(BL33:BO33)</f>
        <v>900</v>
      </c>
      <c r="BQ33" s="836">
        <v>64.5</v>
      </c>
      <c r="BR33" s="105">
        <v>-7.3</v>
      </c>
      <c r="BS33" s="763">
        <v>120.8</v>
      </c>
      <c r="BT33" s="763">
        <v>102.2</v>
      </c>
      <c r="BU33" s="908">
        <f>SUM(BQ33:BT33)</f>
        <v>280.2</v>
      </c>
      <c r="BV33" s="836">
        <v>180.1</v>
      </c>
      <c r="BW33" s="105">
        <v>146.4</v>
      </c>
      <c r="BX33" s="763"/>
      <c r="BY33" s="763"/>
      <c r="BZ33" s="908">
        <f>SUM(BV33:BY33)</f>
        <v>326.5</v>
      </c>
      <c r="CA33" s="839"/>
      <c r="CB33" s="959"/>
      <c r="CC33" s="840"/>
      <c r="CD33" s="927"/>
      <c r="CE33" s="927"/>
      <c r="CF33" s="410"/>
      <c r="CG33" s="839"/>
      <c r="CH33" s="839"/>
    </row>
    <row r="34" spans="1:16357" ht="30" customHeight="1">
      <c r="A34" s="49" t="s">
        <v>773</v>
      </c>
      <c r="B34" s="112" t="s">
        <v>88</v>
      </c>
      <c r="C34" s="54"/>
      <c r="D34" s="54"/>
      <c r="E34" s="54"/>
      <c r="F34" s="54"/>
      <c r="G34" s="200"/>
      <c r="H34" s="55"/>
      <c r="I34" s="54"/>
      <c r="J34" s="54"/>
      <c r="K34" s="54"/>
      <c r="L34" s="200"/>
      <c r="M34" s="55"/>
      <c r="N34" s="54"/>
      <c r="O34" s="54"/>
      <c r="P34" s="54"/>
      <c r="Q34" s="200"/>
      <c r="R34" s="54"/>
      <c r="S34" s="54"/>
      <c r="T34" s="54"/>
      <c r="U34" s="57"/>
      <c r="V34" s="200"/>
      <c r="W34" s="56">
        <v>3</v>
      </c>
      <c r="X34" s="56">
        <v>-6.8</v>
      </c>
      <c r="Y34" s="36">
        <v>-8.4</v>
      </c>
      <c r="Z34" s="57">
        <v>-8.1</v>
      </c>
      <c r="AA34" s="200">
        <f t="shared" si="7"/>
        <v>-20.299999999999997</v>
      </c>
      <c r="AB34" s="56">
        <v>-8</v>
      </c>
      <c r="AC34" s="56">
        <v>-9.5</v>
      </c>
      <c r="AD34" s="36">
        <v>-8</v>
      </c>
      <c r="AE34" s="36">
        <v>-9.9</v>
      </c>
      <c r="AF34" s="200">
        <f t="shared" si="8"/>
        <v>-35.4</v>
      </c>
      <c r="AG34" s="54"/>
      <c r="AH34" s="56"/>
      <c r="AI34" s="84"/>
      <c r="AJ34" s="36"/>
      <c r="AK34" s="200">
        <f t="shared" si="76"/>
        <v>0</v>
      </c>
      <c r="AL34" s="497"/>
      <c r="AM34" s="72">
        <v>-8.6</v>
      </c>
      <c r="AN34" s="56">
        <v>-4.4000000000000004</v>
      </c>
      <c r="AO34" s="56">
        <v>1</v>
      </c>
      <c r="AP34" s="36">
        <v>-5.5</v>
      </c>
      <c r="AQ34" s="200">
        <f t="shared" si="77"/>
        <v>-17.5</v>
      </c>
      <c r="AR34" s="72"/>
      <c r="AS34" s="56"/>
      <c r="AT34" s="56"/>
      <c r="AU34" s="36"/>
      <c r="AV34" s="200"/>
      <c r="AW34" s="72">
        <v>5.4</v>
      </c>
      <c r="AX34" s="56">
        <v>5.3</v>
      </c>
      <c r="AY34" s="56">
        <v>5.2</v>
      </c>
      <c r="AZ34" s="36">
        <v>-1.9</v>
      </c>
      <c r="BA34" s="200">
        <f t="shared" si="78"/>
        <v>13.999999999999998</v>
      </c>
      <c r="BB34" s="72">
        <v>1.4</v>
      </c>
      <c r="BC34" s="56">
        <v>2.2999999999999998</v>
      </c>
      <c r="BD34" s="56">
        <v>-0.9</v>
      </c>
      <c r="BE34" s="36">
        <v>1.8</v>
      </c>
      <c r="BF34" s="708">
        <f t="shared" ref="BF34" si="79">SUM(BB34:BE34)</f>
        <v>4.5999999999999996</v>
      </c>
      <c r="BG34" s="72">
        <v>0.8</v>
      </c>
      <c r="BH34" s="54">
        <v>2.4</v>
      </c>
      <c r="BI34" s="56">
        <v>6.3</v>
      </c>
      <c r="BJ34" s="36">
        <v>-3.8</v>
      </c>
      <c r="BK34" s="693">
        <f t="shared" ref="BK34" si="80">SUM(BG34:BJ34)</f>
        <v>5.7</v>
      </c>
      <c r="BL34" s="72">
        <v>-2.1</v>
      </c>
      <c r="BM34" s="105">
        <v>-6.2</v>
      </c>
      <c r="BN34" s="107">
        <v>-5.6</v>
      </c>
      <c r="BO34" s="54">
        <f>1.1-BN34-BM34-BL34</f>
        <v>14.999999999999998</v>
      </c>
      <c r="BP34" s="821">
        <f>SUM(BL34:BO34)</f>
        <v>1.0999999999999979</v>
      </c>
      <c r="BQ34" s="836">
        <v>6.5</v>
      </c>
      <c r="BR34" s="105">
        <v>15.4</v>
      </c>
      <c r="BS34" s="107">
        <v>-18.600000000000001</v>
      </c>
      <c r="BT34" s="107">
        <v>28.1</v>
      </c>
      <c r="BU34" s="908">
        <f>SUM(BQ34:BT34)</f>
        <v>31.4</v>
      </c>
      <c r="BV34" s="836">
        <v>4.2</v>
      </c>
      <c r="BW34" s="105">
        <v>29.1</v>
      </c>
      <c r="BX34" s="107"/>
      <c r="BY34" s="107"/>
      <c r="BZ34" s="908">
        <f>SUM(BV34:BY34)</f>
        <v>33.300000000000004</v>
      </c>
      <c r="CA34" s="839"/>
      <c r="CB34" s="959"/>
      <c r="CC34" s="840"/>
      <c r="CD34" s="927"/>
      <c r="CE34" s="927"/>
      <c r="CF34" s="410"/>
      <c r="CG34" s="839"/>
      <c r="CH34" s="839"/>
    </row>
    <row r="35" spans="1:16357" s="53" customFormat="1" ht="20.149999999999999" customHeight="1">
      <c r="A35" s="58" t="s">
        <v>89</v>
      </c>
      <c r="B35" s="116" t="s">
        <v>90</v>
      </c>
      <c r="C35" s="59">
        <f t="shared" ref="C35:M35" si="81">ROUND(C32/348.352836,2)</f>
        <v>0.59</v>
      </c>
      <c r="D35" s="59">
        <f t="shared" si="81"/>
        <v>0.28999999999999998</v>
      </c>
      <c r="E35" s="59">
        <f t="shared" si="81"/>
        <v>0.49</v>
      </c>
      <c r="F35" s="59">
        <f t="shared" si="81"/>
        <v>0.35</v>
      </c>
      <c r="G35" s="201">
        <f t="shared" si="81"/>
        <v>1.72</v>
      </c>
      <c r="H35" s="60">
        <f t="shared" si="81"/>
        <v>0.27</v>
      </c>
      <c r="I35" s="59">
        <f t="shared" si="81"/>
        <v>0.23</v>
      </c>
      <c r="J35" s="59">
        <f t="shared" si="81"/>
        <v>0.51</v>
      </c>
      <c r="K35" s="59">
        <f t="shared" si="81"/>
        <v>0.5</v>
      </c>
      <c r="L35" s="201">
        <f t="shared" si="81"/>
        <v>1.51</v>
      </c>
      <c r="M35" s="61">
        <f t="shared" si="81"/>
        <v>0.28000000000000003</v>
      </c>
      <c r="N35" s="59">
        <f>ROUND(N32/524.348714,2)</f>
        <v>0.25</v>
      </c>
      <c r="O35" s="59">
        <f>ROUND(O32/639.546016,2)</f>
        <v>0.08</v>
      </c>
      <c r="P35" s="59">
        <f>ROUND(P32/639.546016,2)</f>
        <v>0.02</v>
      </c>
      <c r="Q35" s="201">
        <f>ROUND(Q32/539.024535,2)</f>
        <v>0.54</v>
      </c>
      <c r="R35" s="59">
        <f t="shared" ref="R35:AA35" si="82">ROUND(R32/639.546016,2)</f>
        <v>0.27</v>
      </c>
      <c r="S35" s="59">
        <f t="shared" si="82"/>
        <v>0.48</v>
      </c>
      <c r="T35" s="59">
        <f t="shared" si="82"/>
        <v>0.79</v>
      </c>
      <c r="U35" s="62">
        <f t="shared" si="82"/>
        <v>0.28999999999999998</v>
      </c>
      <c r="V35" s="201">
        <f t="shared" si="82"/>
        <v>1.82</v>
      </c>
      <c r="W35" s="63">
        <f t="shared" si="82"/>
        <v>0.28000000000000003</v>
      </c>
      <c r="X35" s="63">
        <f>ROUNDUP(X32/639.546016,2)</f>
        <v>0.37</v>
      </c>
      <c r="Y35" s="37">
        <f t="shared" si="82"/>
        <v>0.42</v>
      </c>
      <c r="Z35" s="37">
        <f>ROUNDUP(Z32/639.546016,2)</f>
        <v>0.54</v>
      </c>
      <c r="AA35" s="201">
        <f t="shared" si="82"/>
        <v>1.6</v>
      </c>
      <c r="AB35" s="63">
        <f t="shared" ref="AB35:AK35" si="83">ROUND(AB32/639.546016,2)</f>
        <v>0.42</v>
      </c>
      <c r="AC35" s="63">
        <f t="shared" si="83"/>
        <v>0.44</v>
      </c>
      <c r="AD35" s="63">
        <f t="shared" si="83"/>
        <v>0.37</v>
      </c>
      <c r="AE35" s="63">
        <f t="shared" si="83"/>
        <v>0.25</v>
      </c>
      <c r="AF35" s="201">
        <f t="shared" si="83"/>
        <v>1.48</v>
      </c>
      <c r="AG35" s="63">
        <f t="shared" si="83"/>
        <v>0.49</v>
      </c>
      <c r="AH35" s="63">
        <f t="shared" si="83"/>
        <v>0.4</v>
      </c>
      <c r="AI35" s="63">
        <f t="shared" si="83"/>
        <v>0.35</v>
      </c>
      <c r="AJ35" s="96">
        <f t="shared" si="83"/>
        <v>0.09</v>
      </c>
      <c r="AK35" s="201">
        <f t="shared" si="83"/>
        <v>1.33</v>
      </c>
      <c r="AL35" s="501"/>
      <c r="AM35" s="73">
        <f t="shared" ref="AM35:AQ35" si="84">ROUND(AM32/639.546016,2)</f>
        <v>0.46</v>
      </c>
      <c r="AN35" s="63">
        <f t="shared" si="84"/>
        <v>0.36</v>
      </c>
      <c r="AO35" s="63">
        <v>0.35</v>
      </c>
      <c r="AP35" s="96">
        <v>0.11</v>
      </c>
      <c r="AQ35" s="201">
        <f t="shared" si="84"/>
        <v>1.28</v>
      </c>
      <c r="AR35" s="73"/>
      <c r="AS35" s="63"/>
      <c r="AT35" s="63"/>
      <c r="AU35" s="96"/>
      <c r="AV35" s="201"/>
      <c r="AW35" s="73">
        <f>ROUND(AW32/639.546016,2)</f>
        <v>0.46</v>
      </c>
      <c r="AX35" s="63">
        <v>0.43</v>
      </c>
      <c r="AY35" s="63">
        <v>0.37</v>
      </c>
      <c r="AZ35" s="96">
        <v>0.48</v>
      </c>
      <c r="BA35" s="201">
        <f t="shared" ref="BA35" si="85">ROUND(BA32/639.546016,2)</f>
        <v>1.74</v>
      </c>
      <c r="BB35" s="73">
        <f>ROUND(BB32/639.546016,2)</f>
        <v>0.28999999999999998</v>
      </c>
      <c r="BC35" s="96">
        <f t="shared" ref="BC35:BE35" si="86">ROUND(BC32/639.546016,2)</f>
        <v>0.45</v>
      </c>
      <c r="BD35" s="96">
        <f t="shared" si="86"/>
        <v>0.54</v>
      </c>
      <c r="BE35" s="96">
        <f t="shared" si="86"/>
        <v>0.51</v>
      </c>
      <c r="BF35" s="708">
        <f t="shared" ref="BF35" si="87">ROUND(BF32/639.546016,2)</f>
        <v>1.79</v>
      </c>
      <c r="BG35" s="73">
        <f>ROUND(BG32/639.546016,2)</f>
        <v>0.61</v>
      </c>
      <c r="BH35" s="96">
        <f t="shared" ref="BH35" si="88">ROUND(BH32/639.546016,2)</f>
        <v>0.85</v>
      </c>
      <c r="BI35" s="96">
        <f>ROUNDDOWN(BI32/639.546016,2)</f>
        <v>4.92</v>
      </c>
      <c r="BJ35" s="96">
        <f>BJ32/621.258207</f>
        <v>0.53713576133087548</v>
      </c>
      <c r="BK35" s="691">
        <f>BK32/634.936486</f>
        <v>6.9526639236164458</v>
      </c>
      <c r="BL35" s="96">
        <f>BL32/568.37189</f>
        <v>0.37440275239509108</v>
      </c>
      <c r="BM35" s="764">
        <f>BM32/561.525804</f>
        <v>0.50344970433451319</v>
      </c>
      <c r="BN35" s="772">
        <f>BN32/550.703531</f>
        <v>0.41964503038568818</v>
      </c>
      <c r="BO35" s="772">
        <f>BP35-BL35-BM35-BN35</f>
        <v>0.32250251288470771</v>
      </c>
      <c r="BP35" s="824">
        <v>1.62</v>
      </c>
      <c r="BQ35" s="846">
        <v>0.13</v>
      </c>
      <c r="BR35" s="764">
        <v>0.01</v>
      </c>
      <c r="BS35" s="772">
        <v>0.19</v>
      </c>
      <c r="BT35" s="772">
        <v>0.24</v>
      </c>
      <c r="BU35" s="912">
        <f>SUM(BQ35:BT35)</f>
        <v>0.57000000000000006</v>
      </c>
      <c r="BV35" s="846">
        <v>0.33</v>
      </c>
      <c r="BW35" s="764">
        <v>0.32</v>
      </c>
      <c r="BX35" s="772"/>
      <c r="BY35" s="772"/>
      <c r="BZ35" s="912">
        <f>SUM(BV35:BY35)</f>
        <v>0.65</v>
      </c>
      <c r="CA35" s="839"/>
      <c r="CB35" s="959"/>
      <c r="CC35" s="840"/>
      <c r="CD35" s="927"/>
      <c r="CE35" s="927"/>
      <c r="CF35" s="889"/>
      <c r="CG35" s="888"/>
      <c r="CH35" s="888"/>
    </row>
    <row r="36" spans="1:16357" s="410" customFormat="1" ht="22.5" customHeight="1">
      <c r="A36" s="403" t="s">
        <v>91</v>
      </c>
      <c r="B36" s="404" t="s">
        <v>91</v>
      </c>
      <c r="C36" s="405">
        <f t="shared" ref="C36:AK36" si="89">C25-C13</f>
        <v>257.40000000000003</v>
      </c>
      <c r="D36" s="405">
        <f t="shared" si="89"/>
        <v>269.7</v>
      </c>
      <c r="E36" s="405">
        <f t="shared" si="89"/>
        <v>257.8</v>
      </c>
      <c r="F36" s="405">
        <f t="shared" si="89"/>
        <v>247.20000000000016</v>
      </c>
      <c r="G36" s="406">
        <f t="shared" si="89"/>
        <v>1032.0999999999992</v>
      </c>
      <c r="H36" s="407">
        <f t="shared" si="89"/>
        <v>245.37999999999994</v>
      </c>
      <c r="I36" s="405">
        <f t="shared" si="89"/>
        <v>257.3</v>
      </c>
      <c r="J36" s="405">
        <f t="shared" si="89"/>
        <v>268.2</v>
      </c>
      <c r="K36" s="405">
        <f t="shared" si="89"/>
        <v>275.39999999999998</v>
      </c>
      <c r="L36" s="406">
        <f t="shared" si="89"/>
        <v>1046.2800000000002</v>
      </c>
      <c r="M36" s="407">
        <f t="shared" si="89"/>
        <v>281.99999999999977</v>
      </c>
      <c r="N36" s="405">
        <f t="shared" si="89"/>
        <v>708.89999999999986</v>
      </c>
      <c r="O36" s="405">
        <f t="shared" si="89"/>
        <v>910.09999999999968</v>
      </c>
      <c r="P36" s="405">
        <f t="shared" si="89"/>
        <v>837.30000000000075</v>
      </c>
      <c r="Q36" s="406">
        <f t="shared" si="89"/>
        <v>2738.2999999999993</v>
      </c>
      <c r="R36" s="405">
        <f t="shared" si="89"/>
        <v>896.59999999999991</v>
      </c>
      <c r="S36" s="405">
        <f t="shared" si="89"/>
        <v>977</v>
      </c>
      <c r="T36" s="405">
        <f t="shared" si="89"/>
        <v>930.39999999999964</v>
      </c>
      <c r="U36" s="405">
        <f t="shared" si="89"/>
        <v>881.10000000000036</v>
      </c>
      <c r="V36" s="406">
        <f t="shared" si="89"/>
        <v>3685.0999999999995</v>
      </c>
      <c r="W36" s="405">
        <f t="shared" si="89"/>
        <v>846.5</v>
      </c>
      <c r="X36" s="405">
        <f t="shared" si="89"/>
        <v>935.00000000000011</v>
      </c>
      <c r="Y36" s="408">
        <f t="shared" si="89"/>
        <v>957.00000000000034</v>
      </c>
      <c r="Z36" s="408">
        <f t="shared" si="89"/>
        <v>902.3</v>
      </c>
      <c r="AA36" s="406">
        <f t="shared" si="89"/>
        <v>3640.8</v>
      </c>
      <c r="AB36" s="405">
        <f t="shared" si="89"/>
        <v>929.50000000000034</v>
      </c>
      <c r="AC36" s="405">
        <f t="shared" si="89"/>
        <v>963.69999999999982</v>
      </c>
      <c r="AD36" s="405">
        <f t="shared" si="89"/>
        <v>851.1</v>
      </c>
      <c r="AE36" s="405">
        <f t="shared" si="89"/>
        <v>872.7</v>
      </c>
      <c r="AF36" s="406">
        <f t="shared" si="89"/>
        <v>3617.0000000000009</v>
      </c>
      <c r="AG36" s="405">
        <f t="shared" si="89"/>
        <v>918.79999999999973</v>
      </c>
      <c r="AH36" s="405">
        <f t="shared" si="89"/>
        <v>927.59999999999991</v>
      </c>
      <c r="AI36" s="405">
        <f t="shared" si="89"/>
        <v>848.50000000000011</v>
      </c>
      <c r="AJ36" s="409">
        <f t="shared" si="89"/>
        <v>846.6</v>
      </c>
      <c r="AK36" s="406">
        <f t="shared" si="89"/>
        <v>3541.4999999999995</v>
      </c>
      <c r="AL36" s="411"/>
      <c r="AM36" s="407">
        <f t="shared" ref="AM36:BO36" si="90">AM25-AM13</f>
        <v>890</v>
      </c>
      <c r="AN36" s="405">
        <f t="shared" si="90"/>
        <v>946.39999999999986</v>
      </c>
      <c r="AO36" s="405">
        <f t="shared" si="90"/>
        <v>919.99999999999977</v>
      </c>
      <c r="AP36" s="409">
        <f t="shared" si="90"/>
        <v>941.3</v>
      </c>
      <c r="AQ36" s="406">
        <f t="shared" si="90"/>
        <v>3697.700000000003</v>
      </c>
      <c r="AR36" s="407">
        <f t="shared" si="90"/>
        <v>922.00000000000023</v>
      </c>
      <c r="AS36" s="405">
        <f t="shared" si="90"/>
        <v>959.9</v>
      </c>
      <c r="AT36" s="405">
        <f t="shared" si="90"/>
        <v>901.1999999999997</v>
      </c>
      <c r="AU36" s="405">
        <f t="shared" si="90"/>
        <v>938.20000000000095</v>
      </c>
      <c r="AV36" s="406">
        <f t="shared" si="90"/>
        <v>3721.3000000000029</v>
      </c>
      <c r="AW36" s="407">
        <f t="shared" si="90"/>
        <v>1038.2999999999995</v>
      </c>
      <c r="AX36" s="405">
        <f t="shared" si="90"/>
        <v>1076.0999999999999</v>
      </c>
      <c r="AY36" s="405">
        <f t="shared" si="90"/>
        <v>1020.4999999999999</v>
      </c>
      <c r="AZ36" s="405">
        <f t="shared" si="90"/>
        <v>1061.8000000000002</v>
      </c>
      <c r="BA36" s="406">
        <f t="shared" si="90"/>
        <v>4196.7000000000007</v>
      </c>
      <c r="BB36" s="407">
        <f t="shared" si="90"/>
        <v>1026.6888265199998</v>
      </c>
      <c r="BC36" s="405">
        <f t="shared" si="90"/>
        <v>960.0000000000008</v>
      </c>
      <c r="BD36" s="405">
        <f t="shared" si="90"/>
        <v>1078.8999999999999</v>
      </c>
      <c r="BE36" s="405">
        <f t="shared" si="90"/>
        <v>1126.3000000000002</v>
      </c>
      <c r="BF36" s="692">
        <f t="shared" si="90"/>
        <v>4191.8888265199985</v>
      </c>
      <c r="BG36" s="407">
        <f t="shared" si="90"/>
        <v>1082.7</v>
      </c>
      <c r="BH36" s="405">
        <f t="shared" si="90"/>
        <v>1140.8999999999999</v>
      </c>
      <c r="BI36" s="405">
        <f t="shared" si="90"/>
        <v>4595.0000000000009</v>
      </c>
      <c r="BJ36" s="405">
        <f t="shared" si="90"/>
        <v>880.99999999999966</v>
      </c>
      <c r="BK36" s="692">
        <f t="shared" si="90"/>
        <v>7699.5999999999985</v>
      </c>
      <c r="BL36" s="407">
        <f t="shared" si="90"/>
        <v>766.6</v>
      </c>
      <c r="BM36" s="405">
        <f t="shared" si="90"/>
        <v>893.29999999999984</v>
      </c>
      <c r="BN36" s="405">
        <f t="shared" si="90"/>
        <v>953.0000000000008</v>
      </c>
      <c r="BO36" s="405">
        <f t="shared" si="90"/>
        <v>858.29999999999905</v>
      </c>
      <c r="BP36" s="823">
        <f>BP25-BP13</f>
        <v>3471.2000000000003</v>
      </c>
      <c r="BQ36" s="835">
        <f>BQ25-BQ13</f>
        <v>761.2000000000005</v>
      </c>
      <c r="BR36" s="405">
        <f t="shared" ref="BR36" si="91">BR25-BR13</f>
        <v>798.50000000000023</v>
      </c>
      <c r="BS36" s="405">
        <f>BS25-BS13-BS18-BS22</f>
        <v>994.80000000000041</v>
      </c>
      <c r="BT36" s="405">
        <f>BT25-BT13-BT18-BT22</f>
        <v>676.70000000000016</v>
      </c>
      <c r="BU36" s="911">
        <f>BU25-BU13-BU18-BU22</f>
        <v>3231.2000000000021</v>
      </c>
      <c r="BV36" s="405">
        <f>BV25-BV13-BV18-BV22</f>
        <v>946.29862972000103</v>
      </c>
      <c r="BW36" s="405">
        <f>BW25-BW13-BW18-BW22</f>
        <v>865.00000000000045</v>
      </c>
      <c r="BX36" s="405"/>
      <c r="BY36" s="405"/>
      <c r="BZ36" s="911">
        <f>BZ25-BZ13-BZ18-BZ22</f>
        <v>1811.2986297200011</v>
      </c>
      <c r="CA36" s="839"/>
      <c r="CB36" s="959"/>
      <c r="CC36" s="840"/>
      <c r="CD36" s="927"/>
      <c r="CE36" s="927"/>
      <c r="CG36" s="839"/>
      <c r="CH36" s="839"/>
    </row>
    <row r="37" spans="1:16357" s="410" customFormat="1" ht="22.5" customHeight="1">
      <c r="A37" s="809" t="s">
        <v>92</v>
      </c>
      <c r="B37" s="810" t="s">
        <v>93</v>
      </c>
      <c r="C37" s="811">
        <f t="shared" ref="C37:AK37" si="92">C36/C5</f>
        <v>0.38463837417812313</v>
      </c>
      <c r="D37" s="811">
        <f t="shared" si="92"/>
        <v>0.377836929111796</v>
      </c>
      <c r="E37" s="811">
        <f t="shared" si="92"/>
        <v>0.4</v>
      </c>
      <c r="F37" s="811">
        <f t="shared" si="92"/>
        <v>0.32933653077537983</v>
      </c>
      <c r="G37" s="812">
        <f t="shared" si="92"/>
        <v>0.37151290450307745</v>
      </c>
      <c r="H37" s="813">
        <f t="shared" si="92"/>
        <v>0.35200114761153339</v>
      </c>
      <c r="I37" s="811">
        <f t="shared" si="92"/>
        <v>0.34963989672509854</v>
      </c>
      <c r="J37" s="811">
        <f t="shared" si="92"/>
        <v>0.39598405433338257</v>
      </c>
      <c r="K37" s="811">
        <f t="shared" si="92"/>
        <v>0.34403497813866329</v>
      </c>
      <c r="L37" s="812">
        <f t="shared" si="92"/>
        <v>0.35944757454995196</v>
      </c>
      <c r="M37" s="813">
        <f t="shared" si="92"/>
        <v>0.38987971795935272</v>
      </c>
      <c r="N37" s="811">
        <f t="shared" si="92"/>
        <v>0.40603700097370976</v>
      </c>
      <c r="O37" s="811">
        <f t="shared" si="92"/>
        <v>0.37613655149611497</v>
      </c>
      <c r="P37" s="811">
        <f t="shared" si="92"/>
        <v>0.33211693308476481</v>
      </c>
      <c r="Q37" s="812">
        <f t="shared" si="92"/>
        <v>0.36954614772129168</v>
      </c>
      <c r="R37" s="811">
        <f t="shared" si="92"/>
        <v>0.38497209102619145</v>
      </c>
      <c r="S37" s="811">
        <f t="shared" si="92"/>
        <v>0.39567471245747615</v>
      </c>
      <c r="T37" s="811">
        <f t="shared" si="92"/>
        <v>0.3852747525777464</v>
      </c>
      <c r="U37" s="811">
        <f t="shared" si="92"/>
        <v>0.33759914172956829</v>
      </c>
      <c r="V37" s="812">
        <f t="shared" si="92"/>
        <v>0.37515015779293487</v>
      </c>
      <c r="W37" s="811">
        <f t="shared" si="92"/>
        <v>0.35807952622673433</v>
      </c>
      <c r="X37" s="811">
        <f t="shared" si="92"/>
        <v>0.3827418232428671</v>
      </c>
      <c r="Y37" s="814">
        <f t="shared" si="92"/>
        <v>0.4007873356227491</v>
      </c>
      <c r="Z37" s="814">
        <f t="shared" si="92"/>
        <v>0.35592284328034396</v>
      </c>
      <c r="AA37" s="812">
        <f t="shared" si="92"/>
        <v>0.37419063084544396</v>
      </c>
      <c r="AB37" s="811">
        <f t="shared" si="92"/>
        <v>0.38914008205643491</v>
      </c>
      <c r="AC37" s="811">
        <f t="shared" si="92"/>
        <v>0.39017773998947319</v>
      </c>
      <c r="AD37" s="811">
        <f t="shared" si="92"/>
        <v>0.35597473754653058</v>
      </c>
      <c r="AE37" s="811">
        <f t="shared" si="92"/>
        <v>0.33836073200992561</v>
      </c>
      <c r="AF37" s="812">
        <f t="shared" si="92"/>
        <v>0.36800765114054906</v>
      </c>
      <c r="AG37" s="811">
        <f t="shared" si="92"/>
        <v>0.3892065912653026</v>
      </c>
      <c r="AH37" s="811">
        <f t="shared" si="92"/>
        <v>0.37450038354394599</v>
      </c>
      <c r="AI37" s="811">
        <f t="shared" si="92"/>
        <v>0.34840272645150699</v>
      </c>
      <c r="AJ37" s="811">
        <f t="shared" si="92"/>
        <v>0.3156599552572707</v>
      </c>
      <c r="AK37" s="812">
        <f t="shared" si="92"/>
        <v>0.35575087895529878</v>
      </c>
      <c r="AL37" s="477"/>
      <c r="AM37" s="813">
        <f t="shared" ref="AM37:BP37" si="93">AM36/AM5</f>
        <v>0.37938531054179631</v>
      </c>
      <c r="AN37" s="811">
        <f t="shared" si="93"/>
        <v>0.36355255070682235</v>
      </c>
      <c r="AO37" s="811">
        <f t="shared" si="93"/>
        <v>0.33638025594149901</v>
      </c>
      <c r="AP37" s="811">
        <f t="shared" si="93"/>
        <v>0.31355762824783479</v>
      </c>
      <c r="AQ37" s="812">
        <f t="shared" si="93"/>
        <v>0.3460289535003418</v>
      </c>
      <c r="AR37" s="813">
        <f t="shared" si="93"/>
        <v>0.33136860264519846</v>
      </c>
      <c r="AS37" s="811">
        <f t="shared" si="93"/>
        <v>0.32952282869893579</v>
      </c>
      <c r="AT37" s="811">
        <f t="shared" si="93"/>
        <v>0.31266696735246147</v>
      </c>
      <c r="AU37" s="811">
        <f t="shared" si="93"/>
        <v>0.30670153644982046</v>
      </c>
      <c r="AV37" s="812">
        <f t="shared" si="93"/>
        <v>0.31978997482104055</v>
      </c>
      <c r="AW37" s="813">
        <f t="shared" si="93"/>
        <v>0.37193724029230529</v>
      </c>
      <c r="AX37" s="811">
        <f t="shared" si="93"/>
        <v>0.36814916182004787</v>
      </c>
      <c r="AY37" s="811">
        <f t="shared" si="93"/>
        <v>0.35282118655787575</v>
      </c>
      <c r="AZ37" s="811">
        <f t="shared" si="93"/>
        <v>0.34596461503372328</v>
      </c>
      <c r="BA37" s="812">
        <f t="shared" si="93"/>
        <v>0.35942652084171944</v>
      </c>
      <c r="BB37" s="813">
        <f t="shared" si="93"/>
        <v>0.36043139424960502</v>
      </c>
      <c r="BC37" s="811">
        <f t="shared" si="93"/>
        <v>0.33534774862891703</v>
      </c>
      <c r="BD37" s="811">
        <f t="shared" si="93"/>
        <v>0.35921425004161806</v>
      </c>
      <c r="BE37" s="811">
        <f t="shared" si="93"/>
        <v>0.34674589003140205</v>
      </c>
      <c r="BF37" s="815">
        <f t="shared" si="93"/>
        <v>0.35040741179145513</v>
      </c>
      <c r="BG37" s="813">
        <f t="shared" si="93"/>
        <v>0.36242217312713398</v>
      </c>
      <c r="BH37" s="811">
        <f t="shared" si="93"/>
        <v>0.3610785834098173</v>
      </c>
      <c r="BI37" s="811">
        <f t="shared" si="93"/>
        <v>1.5155513044625486</v>
      </c>
      <c r="BJ37" s="811">
        <f t="shared" si="93"/>
        <v>0.2698315467075037</v>
      </c>
      <c r="BK37" s="815">
        <f t="shared" si="93"/>
        <v>0.61873995499839274</v>
      </c>
      <c r="BL37" s="813">
        <f t="shared" si="93"/>
        <v>0.25667124250845413</v>
      </c>
      <c r="BM37" s="811">
        <f t="shared" si="93"/>
        <v>0.27672624763792941</v>
      </c>
      <c r="BN37" s="811">
        <f t="shared" si="93"/>
        <v>0.29135711883579463</v>
      </c>
      <c r="BO37" s="811">
        <f t="shared" si="93"/>
        <v>0.2502624212736177</v>
      </c>
      <c r="BP37" s="825">
        <f t="shared" si="93"/>
        <v>0.2687665017459912</v>
      </c>
      <c r="BQ37" s="837">
        <f t="shared" ref="BQ37:BS37" si="94">BQ36/BQ5</f>
        <v>0.23792704654143107</v>
      </c>
      <c r="BR37" s="811">
        <f t="shared" si="94"/>
        <v>0.24271992218371943</v>
      </c>
      <c r="BS37" s="811">
        <f t="shared" si="94"/>
        <v>0.28787221112943845</v>
      </c>
      <c r="BT37" s="811">
        <f t="shared" ref="BT37" si="95">BT36/BT5</f>
        <v>0.18381094662501704</v>
      </c>
      <c r="BU37" s="913">
        <f>BU36/BU5</f>
        <v>0.2371296683619179</v>
      </c>
      <c r="BV37" s="837">
        <f t="shared" ref="BV37:BW37" si="96">BV36/BV5</f>
        <v>0.27791454054059839</v>
      </c>
      <c r="BW37" s="837">
        <f t="shared" si="96"/>
        <v>0.25041252931129326</v>
      </c>
      <c r="BX37" s="811"/>
      <c r="BY37" s="811"/>
      <c r="BZ37" s="913">
        <f>BZ36/BZ5</f>
        <v>0.26406469924957021</v>
      </c>
      <c r="CA37" s="839"/>
      <c r="CB37" s="959"/>
      <c r="CC37" s="840"/>
      <c r="CD37" s="927"/>
      <c r="CE37" s="927"/>
      <c r="CG37" s="839"/>
      <c r="CH37" s="839"/>
    </row>
    <row r="38" spans="1:16357" s="53" customFormat="1" ht="20.149999999999999" customHeight="1">
      <c r="A38" s="49" t="s">
        <v>94</v>
      </c>
      <c r="B38" s="133" t="s">
        <v>95</v>
      </c>
      <c r="C38" s="130"/>
      <c r="D38" s="130"/>
      <c r="E38" s="130"/>
      <c r="F38" s="130"/>
      <c r="G38" s="201"/>
      <c r="H38" s="131"/>
      <c r="I38" s="130"/>
      <c r="J38" s="130"/>
      <c r="K38" s="130"/>
      <c r="L38" s="201"/>
      <c r="M38" s="131"/>
      <c r="N38" s="130"/>
      <c r="O38" s="130"/>
      <c r="P38" s="130"/>
      <c r="Q38" s="201"/>
      <c r="R38" s="130"/>
      <c r="S38" s="130"/>
      <c r="T38" s="130"/>
      <c r="U38" s="130"/>
      <c r="V38" s="201"/>
      <c r="W38" s="130"/>
      <c r="X38" s="130"/>
      <c r="Y38" s="132"/>
      <c r="Z38" s="132"/>
      <c r="AA38" s="201"/>
      <c r="AB38" s="130"/>
      <c r="AC38" s="130"/>
      <c r="AD38" s="130"/>
      <c r="AE38" s="130"/>
      <c r="AF38" s="201"/>
      <c r="AG38" s="130"/>
      <c r="AH38" s="130"/>
      <c r="AI38" s="130"/>
      <c r="AJ38" s="132"/>
      <c r="AK38" s="201"/>
      <c r="AL38" s="478"/>
      <c r="AM38" s="131"/>
      <c r="AN38" s="130"/>
      <c r="AO38" s="130"/>
      <c r="AP38" s="132"/>
      <c r="AQ38" s="201"/>
      <c r="AR38" s="131"/>
      <c r="AS38" s="130"/>
      <c r="AT38" s="130"/>
      <c r="AU38" s="130"/>
      <c r="AV38" s="201"/>
      <c r="AW38" s="131"/>
      <c r="AX38" s="130"/>
      <c r="AY38" s="130"/>
      <c r="AZ38" s="130"/>
      <c r="BA38" s="201"/>
      <c r="BB38" s="131"/>
      <c r="BC38" s="56">
        <v>-41.5</v>
      </c>
      <c r="BD38" s="56">
        <v>-3.3</v>
      </c>
      <c r="BE38" s="56">
        <v>-1.1000000000000001</v>
      </c>
      <c r="BF38" s="708">
        <f>SUM(BB38:BE38)</f>
        <v>-45.9</v>
      </c>
      <c r="BG38" s="689"/>
      <c r="BH38" s="107"/>
      <c r="BI38" s="107"/>
      <c r="BJ38" s="107"/>
      <c r="BK38" s="693">
        <f>SUM(BG38:BJ38)</f>
        <v>0</v>
      </c>
      <c r="BL38" s="46">
        <v>0</v>
      </c>
      <c r="BM38" s="46">
        <v>0</v>
      </c>
      <c r="BN38" s="46">
        <v>0</v>
      </c>
      <c r="BO38" s="56"/>
      <c r="BP38" s="819">
        <f>SUM(BL38:BO38)</f>
        <v>0</v>
      </c>
      <c r="BQ38" s="834">
        <v>0</v>
      </c>
      <c r="BR38" s="46">
        <v>0</v>
      </c>
      <c r="BS38" s="46">
        <v>0</v>
      </c>
      <c r="BT38" s="46">
        <v>0</v>
      </c>
      <c r="BU38" s="906">
        <f>SUM(BQ38:BT38)</f>
        <v>0</v>
      </c>
      <c r="BV38" s="834">
        <v>0</v>
      </c>
      <c r="BW38" s="46">
        <v>0</v>
      </c>
      <c r="BX38" s="46"/>
      <c r="BY38" s="46"/>
      <c r="BZ38" s="906">
        <f>SUM(BV38:BY38)</f>
        <v>0</v>
      </c>
      <c r="CA38" s="839"/>
      <c r="CB38" s="959"/>
      <c r="CC38" s="840"/>
      <c r="CD38" s="927"/>
      <c r="CE38" s="927"/>
      <c r="CF38" s="410"/>
      <c r="CG38" s="839"/>
      <c r="CH38" s="839"/>
    </row>
    <row r="39" spans="1:16357" s="53" customFormat="1" ht="20.149999999999999" customHeight="1">
      <c r="A39" s="49" t="s">
        <v>96</v>
      </c>
      <c r="B39" s="133" t="s">
        <v>97</v>
      </c>
      <c r="C39" s="130"/>
      <c r="D39" s="130"/>
      <c r="E39" s="130"/>
      <c r="F39" s="130"/>
      <c r="G39" s="201"/>
      <c r="H39" s="131"/>
      <c r="I39" s="130"/>
      <c r="J39" s="130"/>
      <c r="K39" s="130"/>
      <c r="L39" s="201"/>
      <c r="M39" s="131"/>
      <c r="N39" s="130"/>
      <c r="O39" s="130"/>
      <c r="P39" s="130"/>
      <c r="Q39" s="201"/>
      <c r="R39" s="130"/>
      <c r="S39" s="130"/>
      <c r="T39" s="130"/>
      <c r="U39" s="130"/>
      <c r="V39" s="201"/>
      <c r="W39" s="130"/>
      <c r="X39" s="130"/>
      <c r="Y39" s="132"/>
      <c r="Z39" s="132"/>
      <c r="AA39" s="201"/>
      <c r="AB39" s="130"/>
      <c r="AC39" s="130"/>
      <c r="AD39" s="130"/>
      <c r="AE39" s="130"/>
      <c r="AF39" s="201"/>
      <c r="AG39" s="130"/>
      <c r="AH39" s="130"/>
      <c r="AI39" s="130"/>
      <c r="AJ39" s="132"/>
      <c r="AK39" s="201"/>
      <c r="AL39" s="478"/>
      <c r="AM39" s="131"/>
      <c r="AN39" s="130"/>
      <c r="AO39" s="130"/>
      <c r="AP39" s="132"/>
      <c r="AQ39" s="201"/>
      <c r="AR39" s="131"/>
      <c r="AS39" s="130"/>
      <c r="AT39" s="130"/>
      <c r="AU39" s="130"/>
      <c r="AV39" s="201"/>
      <c r="AW39" s="131"/>
      <c r="AX39" s="130"/>
      <c r="AY39" s="130"/>
      <c r="AZ39" s="130"/>
      <c r="BA39" s="201"/>
      <c r="BB39" s="131"/>
      <c r="BC39" s="56"/>
      <c r="BD39" s="56"/>
      <c r="BE39" s="56"/>
      <c r="BF39" s="708"/>
      <c r="BG39" s="689"/>
      <c r="BH39" s="107"/>
      <c r="BI39" s="107"/>
      <c r="BJ39" s="107"/>
      <c r="BK39" s="693"/>
      <c r="BL39" s="56">
        <v>-34.1</v>
      </c>
      <c r="BM39" s="46">
        <v>0</v>
      </c>
      <c r="BN39" s="46">
        <v>0</v>
      </c>
      <c r="BO39" s="56"/>
      <c r="BP39" s="819">
        <f>SUM(BL39:BO39)</f>
        <v>-34.1</v>
      </c>
      <c r="BQ39" s="834">
        <v>0</v>
      </c>
      <c r="BR39" s="46">
        <v>0</v>
      </c>
      <c r="BS39" s="46">
        <v>0</v>
      </c>
      <c r="BT39" s="46">
        <v>0</v>
      </c>
      <c r="BU39" s="906">
        <f>SUM(BQ39:BT39)</f>
        <v>0</v>
      </c>
      <c r="BV39" s="834">
        <v>0</v>
      </c>
      <c r="BW39" s="46">
        <v>0</v>
      </c>
      <c r="BX39" s="46"/>
      <c r="BY39" s="46"/>
      <c r="BZ39" s="906">
        <f>SUM(BV39:BY39)</f>
        <v>0</v>
      </c>
      <c r="CA39" s="839"/>
      <c r="CB39" s="959"/>
      <c r="CC39" s="840"/>
      <c r="CD39" s="927"/>
      <c r="CE39" s="927"/>
      <c r="CF39" s="410"/>
      <c r="CG39" s="839"/>
      <c r="CH39" s="839"/>
    </row>
    <row r="40" spans="1:16357" s="410" customFormat="1" ht="22.5" customHeight="1">
      <c r="A40" s="403" t="s">
        <v>98</v>
      </c>
      <c r="B40" s="404" t="s">
        <v>99</v>
      </c>
      <c r="C40" s="405"/>
      <c r="D40" s="405"/>
      <c r="E40" s="405"/>
      <c r="F40" s="405"/>
      <c r="G40" s="406"/>
      <c r="H40" s="407"/>
      <c r="I40" s="405"/>
      <c r="J40" s="405"/>
      <c r="K40" s="405"/>
      <c r="L40" s="406"/>
      <c r="M40" s="407"/>
      <c r="N40" s="405"/>
      <c r="O40" s="405"/>
      <c r="P40" s="405"/>
      <c r="Q40" s="406"/>
      <c r="R40" s="405"/>
      <c r="S40" s="405"/>
      <c r="T40" s="405"/>
      <c r="U40" s="405"/>
      <c r="V40" s="406"/>
      <c r="W40" s="405"/>
      <c r="X40" s="405"/>
      <c r="Y40" s="408"/>
      <c r="Z40" s="408"/>
      <c r="AA40" s="406"/>
      <c r="AB40" s="405"/>
      <c r="AC40" s="405"/>
      <c r="AD40" s="405"/>
      <c r="AE40" s="405"/>
      <c r="AF40" s="406"/>
      <c r="AG40" s="405"/>
      <c r="AH40" s="405"/>
      <c r="AI40" s="405"/>
      <c r="AJ40" s="409"/>
      <c r="AK40" s="406"/>
      <c r="AL40" s="411"/>
      <c r="AM40" s="407"/>
      <c r="AN40" s="405"/>
      <c r="AO40" s="405"/>
      <c r="AP40" s="409"/>
      <c r="AQ40" s="406"/>
      <c r="AR40" s="407"/>
      <c r="AS40" s="405"/>
      <c r="AT40" s="405"/>
      <c r="AU40" s="405"/>
      <c r="AV40" s="406"/>
      <c r="AW40" s="407"/>
      <c r="AX40" s="405"/>
      <c r="AY40" s="405"/>
      <c r="AZ40" s="405"/>
      <c r="BA40" s="406"/>
      <c r="BB40" s="407"/>
      <c r="BC40" s="405">
        <f t="shared" ref="BC40:BF40" si="97">BC36-BC38</f>
        <v>1001.5000000000008</v>
      </c>
      <c r="BD40" s="405">
        <f t="shared" si="97"/>
        <v>1082.1999999999998</v>
      </c>
      <c r="BE40" s="405">
        <f>BE36-BE38</f>
        <v>1127.4000000000001</v>
      </c>
      <c r="BF40" s="692">
        <f t="shared" si="97"/>
        <v>4237.7888265199981</v>
      </c>
      <c r="BG40" s="407">
        <f>BG36</f>
        <v>1082.7</v>
      </c>
      <c r="BH40" s="405">
        <f>BH36</f>
        <v>1140.8999999999999</v>
      </c>
      <c r="BI40" s="405">
        <f>BI36-BI38-BI23</f>
        <v>904.20000000000073</v>
      </c>
      <c r="BJ40" s="405">
        <f>BJ36-BJ38-BJ23</f>
        <v>891.1999999999997</v>
      </c>
      <c r="BK40" s="692">
        <f>SUM(BG40:BJ40)</f>
        <v>4019.0000000000005</v>
      </c>
      <c r="BL40" s="407">
        <f>BL36-SUM(BL38:BL39)</f>
        <v>800.7</v>
      </c>
      <c r="BM40" s="405">
        <f>BM36</f>
        <v>893.29999999999984</v>
      </c>
      <c r="BN40" s="405">
        <f>BN36-BN38-BN23</f>
        <v>839.60000000000082</v>
      </c>
      <c r="BO40" s="405">
        <f>BO36-BO38-BO23</f>
        <v>818.49999999999909</v>
      </c>
      <c r="BP40" s="823">
        <f>SUM(BL40:BO40)</f>
        <v>3352.1</v>
      </c>
      <c r="BQ40" s="835">
        <f>BQ36-SUM(BQ38:BQ39)</f>
        <v>761.2000000000005</v>
      </c>
      <c r="BR40" s="405">
        <f>BR36</f>
        <v>798.50000000000023</v>
      </c>
      <c r="BS40" s="405">
        <f>BS36-BS38-BS23</f>
        <v>774.70000000000039</v>
      </c>
      <c r="BT40" s="405">
        <f>BT36-BT38-BT23</f>
        <v>677.10000000000014</v>
      </c>
      <c r="BU40" s="911">
        <f>SUM(BQ40:BT40)</f>
        <v>3011.5000000000009</v>
      </c>
      <c r="BV40" s="405">
        <f>BV36-BV23</f>
        <v>936.29862972000103</v>
      </c>
      <c r="BW40" s="405">
        <f>BW36-BW23</f>
        <v>865.00000000000045</v>
      </c>
      <c r="BX40" s="405"/>
      <c r="BY40" s="405"/>
      <c r="BZ40" s="911">
        <f>SUM(BV40:BY40)</f>
        <v>1801.2986297200014</v>
      </c>
      <c r="CA40" s="839"/>
      <c r="CB40" s="959"/>
      <c r="CC40" s="840"/>
      <c r="CD40" s="839"/>
      <c r="CE40" s="839"/>
      <c r="CG40" s="839"/>
      <c r="CH40" s="839"/>
    </row>
    <row r="41" spans="1:16357" s="410" customFormat="1" ht="22.5" customHeight="1">
      <c r="A41" s="403" t="s">
        <v>100</v>
      </c>
      <c r="B41" s="404" t="s">
        <v>101</v>
      </c>
      <c r="C41" s="405"/>
      <c r="D41" s="405"/>
      <c r="E41" s="405"/>
      <c r="F41" s="405"/>
      <c r="G41" s="406"/>
      <c r="H41" s="407"/>
      <c r="I41" s="405"/>
      <c r="J41" s="405"/>
      <c r="K41" s="405"/>
      <c r="L41" s="406"/>
      <c r="M41" s="407"/>
      <c r="N41" s="405"/>
      <c r="O41" s="405"/>
      <c r="P41" s="405"/>
      <c r="Q41" s="406"/>
      <c r="R41" s="405"/>
      <c r="S41" s="405"/>
      <c r="T41" s="405"/>
      <c r="U41" s="405"/>
      <c r="V41" s="406"/>
      <c r="W41" s="405"/>
      <c r="X41" s="405"/>
      <c r="Y41" s="408"/>
      <c r="Z41" s="408"/>
      <c r="AA41" s="406"/>
      <c r="AB41" s="405"/>
      <c r="AC41" s="405"/>
      <c r="AD41" s="405"/>
      <c r="AE41" s="405"/>
      <c r="AF41" s="406"/>
      <c r="AG41" s="405"/>
      <c r="AH41" s="405"/>
      <c r="AI41" s="405"/>
      <c r="AJ41" s="409"/>
      <c r="AK41" s="406"/>
      <c r="AL41" s="411"/>
      <c r="AM41" s="407"/>
      <c r="AN41" s="405"/>
      <c r="AO41" s="405"/>
      <c r="AP41" s="409"/>
      <c r="AQ41" s="406"/>
      <c r="AR41" s="407"/>
      <c r="AS41" s="405"/>
      <c r="AT41" s="405"/>
      <c r="AU41" s="405"/>
      <c r="AV41" s="406"/>
      <c r="AW41" s="407"/>
      <c r="AX41" s="405"/>
      <c r="AY41" s="405"/>
      <c r="AZ41" s="405"/>
      <c r="BA41" s="406"/>
      <c r="BB41" s="407"/>
      <c r="BC41" s="816">
        <f t="shared" ref="BC41:BP41" si="98">BC40/BC5</f>
        <v>0.3498445523456879</v>
      </c>
      <c r="BD41" s="816">
        <f t="shared" si="98"/>
        <v>0.36031296820376224</v>
      </c>
      <c r="BE41" s="816">
        <f t="shared" si="98"/>
        <v>0.34708453912936393</v>
      </c>
      <c r="BF41" s="817">
        <f t="shared" si="98"/>
        <v>0.35424427409073034</v>
      </c>
      <c r="BG41" s="816">
        <f t="shared" si="98"/>
        <v>0.36242217312713398</v>
      </c>
      <c r="BH41" s="816">
        <f t="shared" si="98"/>
        <v>0.3610785834098173</v>
      </c>
      <c r="BI41" s="816">
        <f t="shared" si="98"/>
        <v>0.29822883340479589</v>
      </c>
      <c r="BJ41" s="816">
        <f t="shared" si="98"/>
        <v>0.27295558958652366</v>
      </c>
      <c r="BK41" s="817">
        <f t="shared" si="98"/>
        <v>0.32296689167470277</v>
      </c>
      <c r="BL41" s="816">
        <f t="shared" si="98"/>
        <v>0.26808852579770315</v>
      </c>
      <c r="BM41" s="816">
        <f t="shared" si="98"/>
        <v>0.27672624763792941</v>
      </c>
      <c r="BN41" s="816">
        <f t="shared" si="98"/>
        <v>0.2566877617781041</v>
      </c>
      <c r="BO41" s="816">
        <f t="shared" si="98"/>
        <v>0.23865756939584767</v>
      </c>
      <c r="BP41" s="826">
        <f t="shared" si="98"/>
        <v>0.25954488087771871</v>
      </c>
      <c r="BQ41" s="838">
        <f t="shared" ref="BQ41:BS41" si="99">BQ40/BQ5</f>
        <v>0.23792704654143107</v>
      </c>
      <c r="BR41" s="816">
        <f t="shared" si="99"/>
        <v>0.24271992218371943</v>
      </c>
      <c r="BS41" s="816">
        <f t="shared" si="99"/>
        <v>0.22418033972856452</v>
      </c>
      <c r="BT41" s="816">
        <f t="shared" ref="BT41" si="100">BT40/BT5</f>
        <v>0.18391959798994981</v>
      </c>
      <c r="BU41" s="914">
        <f>BU40/BU5</f>
        <v>0.22100643608316276</v>
      </c>
      <c r="BV41" s="838">
        <f t="shared" ref="BV41:BW41" si="101">BV40/BV5</f>
        <v>0.27497768179630505</v>
      </c>
      <c r="BW41" s="838">
        <f t="shared" si="101"/>
        <v>0.25041252931129326</v>
      </c>
      <c r="BX41" s="816"/>
      <c r="BY41" s="816"/>
      <c r="BZ41" s="914">
        <f>BZ40/BZ5</f>
        <v>0.26260682424808368</v>
      </c>
      <c r="CA41" s="839"/>
      <c r="CB41" s="959"/>
      <c r="CC41" s="840"/>
      <c r="CD41" s="839"/>
      <c r="CE41" s="839"/>
      <c r="CG41" s="839"/>
      <c r="CH41" s="839"/>
    </row>
    <row r="42" spans="1:16357" s="410" customFormat="1" ht="22.5" customHeight="1">
      <c r="A42" s="403" t="s">
        <v>102</v>
      </c>
      <c r="B42" s="404" t="s">
        <v>99</v>
      </c>
      <c r="C42" s="405"/>
      <c r="D42" s="405"/>
      <c r="E42" s="405"/>
      <c r="F42" s="405"/>
      <c r="G42" s="406"/>
      <c r="H42" s="407"/>
      <c r="I42" s="405"/>
      <c r="J42" s="405"/>
      <c r="K42" s="405"/>
      <c r="L42" s="406"/>
      <c r="M42" s="407"/>
      <c r="N42" s="405"/>
      <c r="O42" s="405"/>
      <c r="P42" s="405"/>
      <c r="Q42" s="406"/>
      <c r="R42" s="405"/>
      <c r="S42" s="405"/>
      <c r="T42" s="405"/>
      <c r="U42" s="405"/>
      <c r="V42" s="406"/>
      <c r="W42" s="405"/>
      <c r="X42" s="405"/>
      <c r="Y42" s="408"/>
      <c r="Z42" s="408"/>
      <c r="AA42" s="406"/>
      <c r="AB42" s="405"/>
      <c r="AC42" s="405"/>
      <c r="AD42" s="405"/>
      <c r="AE42" s="405"/>
      <c r="AF42" s="406"/>
      <c r="AG42" s="405"/>
      <c r="AH42" s="405"/>
      <c r="AI42" s="405"/>
      <c r="AJ42" s="409"/>
      <c r="AK42" s="406"/>
      <c r="AL42" s="411"/>
      <c r="AM42" s="407"/>
      <c r="AN42" s="405"/>
      <c r="AO42" s="405"/>
      <c r="AP42" s="409"/>
      <c r="AQ42" s="406"/>
      <c r="AR42" s="407"/>
      <c r="AS42" s="405"/>
      <c r="AT42" s="405"/>
      <c r="AU42" s="405"/>
      <c r="AV42" s="406"/>
      <c r="AW42" s="407"/>
      <c r="AX42" s="405"/>
      <c r="AY42" s="405"/>
      <c r="AZ42" s="405"/>
      <c r="BA42" s="406"/>
      <c r="BB42" s="407"/>
      <c r="BC42" s="405"/>
      <c r="BD42" s="405"/>
      <c r="BE42" s="405"/>
      <c r="BF42" s="692"/>
      <c r="BG42" s="407"/>
      <c r="BH42" s="405"/>
      <c r="BI42" s="405"/>
      <c r="BJ42" s="405"/>
      <c r="BK42" s="692"/>
      <c r="BL42" s="407"/>
      <c r="BM42" s="405"/>
      <c r="BN42" s="405"/>
      <c r="BO42" s="405"/>
      <c r="BP42" s="823"/>
      <c r="BQ42" s="835"/>
      <c r="BR42" s="405"/>
      <c r="BS42" s="405"/>
      <c r="BT42" s="405"/>
      <c r="BU42" s="911"/>
      <c r="BV42" s="405">
        <f>BV40-164</f>
        <v>772.29862972000103</v>
      </c>
      <c r="BW42" s="405">
        <f>BW40-21.1</f>
        <v>843.90000000000043</v>
      </c>
      <c r="BX42" s="405"/>
      <c r="BY42" s="405"/>
      <c r="BZ42" s="911">
        <f>SUM(BV42:BY42)</f>
        <v>1616.1986297200015</v>
      </c>
      <c r="CA42" s="839"/>
      <c r="CB42" s="959"/>
      <c r="CC42" s="840"/>
      <c r="CD42" s="839"/>
      <c r="CE42" s="839"/>
      <c r="CG42" s="839"/>
      <c r="CH42" s="839"/>
    </row>
    <row r="43" spans="1:16357" s="410" customFormat="1" ht="26">
      <c r="A43" s="403" t="s">
        <v>103</v>
      </c>
      <c r="B43" s="404" t="s">
        <v>101</v>
      </c>
      <c r="C43" s="405"/>
      <c r="D43" s="405"/>
      <c r="E43" s="405"/>
      <c r="F43" s="405"/>
      <c r="G43" s="406"/>
      <c r="H43" s="407"/>
      <c r="I43" s="405"/>
      <c r="J43" s="405"/>
      <c r="K43" s="405"/>
      <c r="L43" s="406"/>
      <c r="M43" s="407"/>
      <c r="N43" s="405"/>
      <c r="O43" s="405"/>
      <c r="P43" s="405"/>
      <c r="Q43" s="406"/>
      <c r="R43" s="405"/>
      <c r="S43" s="405"/>
      <c r="T43" s="405"/>
      <c r="U43" s="405"/>
      <c r="V43" s="406"/>
      <c r="W43" s="405"/>
      <c r="X43" s="405"/>
      <c r="Y43" s="408"/>
      <c r="Z43" s="408"/>
      <c r="AA43" s="406"/>
      <c r="AB43" s="405"/>
      <c r="AC43" s="405"/>
      <c r="AD43" s="405"/>
      <c r="AE43" s="405"/>
      <c r="AF43" s="406"/>
      <c r="AG43" s="405"/>
      <c r="AH43" s="405"/>
      <c r="AI43" s="405"/>
      <c r="AJ43" s="409"/>
      <c r="AK43" s="406"/>
      <c r="AL43" s="411"/>
      <c r="AM43" s="407"/>
      <c r="AN43" s="405"/>
      <c r="AO43" s="405"/>
      <c r="AP43" s="409"/>
      <c r="AQ43" s="406"/>
      <c r="AR43" s="407"/>
      <c r="AS43" s="405"/>
      <c r="AT43" s="405"/>
      <c r="AU43" s="405"/>
      <c r="AV43" s="406"/>
      <c r="AW43" s="407"/>
      <c r="AX43" s="405"/>
      <c r="AY43" s="405"/>
      <c r="AZ43" s="405"/>
      <c r="BA43" s="406"/>
      <c r="BB43" s="407"/>
      <c r="BC43" s="816"/>
      <c r="BD43" s="816"/>
      <c r="BE43" s="816"/>
      <c r="BF43" s="817"/>
      <c r="BG43" s="816"/>
      <c r="BH43" s="816"/>
      <c r="BI43" s="816"/>
      <c r="BJ43" s="816"/>
      <c r="BK43" s="817"/>
      <c r="BL43" s="816"/>
      <c r="BM43" s="816"/>
      <c r="BN43" s="816"/>
      <c r="BO43" s="816"/>
      <c r="BP43" s="826"/>
      <c r="BQ43" s="838"/>
      <c r="BR43" s="816"/>
      <c r="BS43" s="816"/>
      <c r="BT43" s="816"/>
      <c r="BU43" s="914"/>
      <c r="BV43" s="838">
        <f>BV42/BV5</f>
        <v>0.22681319838989439</v>
      </c>
      <c r="BW43" s="838">
        <f>BW42/BW5</f>
        <v>0.24430420056161894</v>
      </c>
      <c r="BX43" s="816"/>
      <c r="BY43" s="816"/>
      <c r="BZ43" s="914">
        <f>BZ42/BZ5</f>
        <v>0.23562155797056694</v>
      </c>
      <c r="CA43" s="839"/>
      <c r="CB43" s="959"/>
      <c r="CC43" s="840"/>
      <c r="CD43" s="839"/>
      <c r="CE43" s="839"/>
      <c r="CG43" s="839"/>
      <c r="CH43" s="839"/>
    </row>
    <row r="44" spans="1:16357" ht="15" customHeight="1">
      <c r="U44" s="6"/>
      <c r="V44" s="6"/>
      <c r="W44" s="6"/>
      <c r="X44" s="6"/>
      <c r="Y44" s="38"/>
      <c r="Z44" s="6"/>
      <c r="AA44" s="6"/>
      <c r="AB44" s="6"/>
      <c r="AC44" s="6"/>
      <c r="AD44" s="38"/>
      <c r="AE44" s="6"/>
      <c r="AF44" s="6"/>
      <c r="AG44" s="6"/>
      <c r="AH44" s="6"/>
      <c r="AI44" s="38"/>
      <c r="AJ44" s="6"/>
      <c r="AK44" s="98"/>
      <c r="AL44" s="5"/>
      <c r="AM44" s="6"/>
      <c r="AN44" s="77"/>
      <c r="AO44" s="38"/>
      <c r="AP44" s="6"/>
      <c r="AQ44" s="77"/>
      <c r="AR44" s="6"/>
      <c r="AS44" s="77"/>
      <c r="AT44" s="38"/>
      <c r="AU44" s="6"/>
      <c r="AV44" s="77"/>
      <c r="AW44" s="6"/>
      <c r="AX44" s="77"/>
      <c r="AY44" s="38"/>
      <c r="AZ44" s="6"/>
      <c r="BA44" s="77"/>
      <c r="BB44" s="6"/>
      <c r="BC44" s="77"/>
      <c r="BD44" s="38"/>
      <c r="BE44" s="6"/>
      <c r="BF44" s="701"/>
      <c r="BG44" s="918"/>
      <c r="BH44" s="918"/>
      <c r="BI44" s="918"/>
      <c r="BJ44" s="918"/>
      <c r="BK44" s="696"/>
      <c r="BL44" s="918"/>
      <c r="BM44" s="918"/>
      <c r="BN44" s="918"/>
      <c r="BO44" s="918"/>
      <c r="BP44" s="918"/>
      <c r="BQ44" s="918"/>
      <c r="BR44" s="918"/>
      <c r="BS44" s="918"/>
      <c r="BT44" s="6"/>
      <c r="BV44" s="921"/>
      <c r="BW44" s="921"/>
      <c r="BX44" s="927"/>
      <c r="BY44" s="839"/>
      <c r="BZ44" s="839"/>
      <c r="CD44" s="839"/>
      <c r="CE44" s="839"/>
      <c r="CF44" s="410"/>
      <c r="CG44" s="839"/>
      <c r="CH44" s="839"/>
    </row>
    <row r="45" spans="1:16357" ht="23.25" customHeight="1">
      <c r="A45" s="117" t="s">
        <v>104</v>
      </c>
      <c r="B45" s="121" t="s">
        <v>105</v>
      </c>
      <c r="C45" s="120"/>
      <c r="D45" s="120"/>
      <c r="E45" s="120"/>
      <c r="F45" s="120"/>
      <c r="G45" s="120"/>
      <c r="H45" s="120"/>
      <c r="I45" s="120"/>
      <c r="J45" s="120"/>
      <c r="K45" s="120"/>
      <c r="L45" s="120"/>
      <c r="M45" s="120"/>
      <c r="N45" s="120"/>
      <c r="O45" s="117"/>
      <c r="P45" s="117"/>
      <c r="Q45" s="117"/>
      <c r="R45" s="117"/>
      <c r="S45" s="987"/>
      <c r="T45" s="987"/>
      <c r="U45" s="987"/>
      <c r="V45" s="987"/>
      <c r="W45" s="987"/>
      <c r="X45" s="987"/>
      <c r="Y45" s="987"/>
      <c r="Z45" s="987"/>
      <c r="AA45" s="987"/>
      <c r="AB45" s="987"/>
      <c r="AC45" s="987"/>
      <c r="AD45" s="987"/>
      <c r="AE45" s="987"/>
      <c r="AF45" s="987"/>
      <c r="AG45" s="987"/>
      <c r="AH45" s="7"/>
      <c r="AI45" s="35"/>
      <c r="AJ45" s="7"/>
      <c r="AK45" s="99"/>
      <c r="AL45" s="5"/>
      <c r="AM45" s="7"/>
      <c r="AN45" s="7"/>
      <c r="AO45" s="35"/>
      <c r="AP45" s="7"/>
      <c r="AQ45" s="7"/>
      <c r="AR45" s="7"/>
      <c r="AS45" s="7"/>
      <c r="AT45" s="35"/>
      <c r="AU45" s="7"/>
      <c r="AV45" s="7"/>
      <c r="AW45" s="7"/>
      <c r="AX45" s="987"/>
      <c r="AY45" s="987"/>
      <c r="AZ45" s="987"/>
      <c r="BA45" s="987"/>
      <c r="BB45" s="987"/>
      <c r="BC45" s="987"/>
      <c r="BD45" s="987"/>
      <c r="BE45" s="987"/>
      <c r="BF45" s="987"/>
      <c r="BG45" s="987"/>
      <c r="BH45" s="987"/>
      <c r="BI45" s="987"/>
      <c r="BJ45" s="987"/>
      <c r="BK45" s="987"/>
      <c r="BL45" s="987"/>
      <c r="BM45" s="987"/>
      <c r="BN45" s="987"/>
      <c r="BO45" s="987"/>
      <c r="BP45" s="987"/>
      <c r="BQ45" s="987"/>
      <c r="BR45" s="987"/>
      <c r="BS45" s="987"/>
      <c r="BT45" s="987"/>
      <c r="BU45" s="987"/>
      <c r="BY45" s="987"/>
      <c r="BZ45" s="987"/>
      <c r="CA45" s="987"/>
      <c r="CB45" s="987"/>
      <c r="CC45" s="987"/>
      <c r="CD45" s="987"/>
      <c r="CE45" s="987"/>
      <c r="CF45" s="987"/>
      <c r="CG45" s="987"/>
      <c r="CH45" s="987"/>
      <c r="CI45" s="987"/>
      <c r="CJ45" s="987"/>
      <c r="CK45" s="987"/>
      <c r="CL45" s="987"/>
      <c r="CM45" s="987"/>
      <c r="CN45" s="987"/>
      <c r="CO45" s="987"/>
      <c r="CP45" s="987"/>
      <c r="CQ45" s="987"/>
      <c r="CR45" s="987"/>
      <c r="CS45" s="987"/>
      <c r="CT45" s="987"/>
      <c r="CU45" s="987"/>
      <c r="CV45" s="987"/>
      <c r="CW45" s="987"/>
      <c r="CX45" s="987"/>
      <c r="CY45" s="987"/>
      <c r="CZ45" s="987"/>
      <c r="DA45" s="987"/>
      <c r="DB45" s="987"/>
      <c r="DC45" s="987"/>
      <c r="DD45" s="987"/>
      <c r="DE45" s="987"/>
      <c r="DF45" s="987"/>
      <c r="DG45" s="987"/>
      <c r="DH45" s="987"/>
      <c r="DI45" s="987"/>
      <c r="DJ45" s="987"/>
      <c r="DK45" s="987"/>
      <c r="DL45" s="987"/>
      <c r="DM45" s="987"/>
      <c r="DN45" s="987"/>
      <c r="DO45" s="987"/>
      <c r="DP45" s="987"/>
      <c r="DQ45" s="987"/>
      <c r="DR45" s="987"/>
      <c r="DS45" s="987"/>
      <c r="DT45" s="987"/>
      <c r="DU45" s="987"/>
      <c r="DV45" s="987"/>
      <c r="DW45" s="987"/>
      <c r="DX45" s="987"/>
      <c r="DY45" s="987"/>
      <c r="DZ45" s="987"/>
      <c r="EA45" s="987"/>
      <c r="EB45" s="987"/>
      <c r="EC45" s="987"/>
      <c r="ED45" s="987"/>
      <c r="EE45" s="987"/>
      <c r="EF45" s="987"/>
      <c r="EG45" s="987"/>
      <c r="EH45" s="987"/>
      <c r="EI45" s="987"/>
      <c r="EJ45" s="987"/>
      <c r="EK45" s="987"/>
      <c r="EL45" s="987"/>
      <c r="EM45" s="987"/>
      <c r="EN45" s="987"/>
      <c r="EO45" s="987"/>
      <c r="EP45" s="987"/>
      <c r="EQ45" s="987"/>
      <c r="ER45" s="987"/>
      <c r="ES45" s="987"/>
      <c r="ET45" s="987"/>
      <c r="EU45" s="987"/>
      <c r="EV45" s="987"/>
      <c r="EW45" s="987"/>
      <c r="EX45" s="987"/>
      <c r="EY45" s="987"/>
      <c r="EZ45" s="987"/>
      <c r="FA45" s="987"/>
      <c r="FB45" s="987"/>
      <c r="FC45" s="987"/>
      <c r="FD45" s="987"/>
      <c r="FE45" s="987"/>
      <c r="FF45" s="987"/>
      <c r="FG45" s="987"/>
      <c r="FH45" s="987"/>
      <c r="FI45" s="987"/>
      <c r="FJ45" s="987"/>
      <c r="FK45" s="987"/>
      <c r="FL45" s="987"/>
      <c r="FM45" s="987"/>
      <c r="FN45" s="987"/>
      <c r="FO45" s="987"/>
      <c r="FP45" s="987"/>
      <c r="FQ45" s="987"/>
      <c r="FR45" s="987"/>
      <c r="FS45" s="987"/>
      <c r="FT45" s="987"/>
      <c r="FU45" s="987"/>
      <c r="FV45" s="987"/>
      <c r="FW45" s="987"/>
      <c r="FX45" s="987"/>
      <c r="FY45" s="987"/>
      <c r="FZ45" s="987"/>
      <c r="GA45" s="987"/>
      <c r="GB45" s="987"/>
      <c r="GC45" s="987"/>
      <c r="GD45" s="987"/>
      <c r="GE45" s="987"/>
      <c r="GF45" s="987"/>
      <c r="GG45" s="987"/>
      <c r="GH45" s="987"/>
      <c r="GI45" s="987"/>
      <c r="GJ45" s="987"/>
      <c r="GK45" s="987"/>
      <c r="GL45" s="987"/>
      <c r="GM45" s="987"/>
      <c r="GN45" s="987"/>
      <c r="GO45" s="987"/>
      <c r="GP45" s="987"/>
      <c r="GQ45" s="987"/>
      <c r="GR45" s="987"/>
      <c r="GS45" s="987"/>
      <c r="GT45" s="987"/>
      <c r="GU45" s="987"/>
      <c r="GV45" s="987"/>
      <c r="GW45" s="987"/>
      <c r="GX45" s="987"/>
      <c r="GY45" s="987"/>
      <c r="GZ45" s="987"/>
      <c r="HA45" s="987"/>
      <c r="HB45" s="987"/>
      <c r="HC45" s="987"/>
      <c r="HD45" s="987"/>
      <c r="HE45" s="987"/>
      <c r="HF45" s="987"/>
      <c r="HG45" s="987"/>
      <c r="HH45" s="987"/>
      <c r="HI45" s="987"/>
      <c r="HJ45" s="987"/>
      <c r="HK45" s="987"/>
      <c r="HL45" s="987"/>
      <c r="HM45" s="987"/>
      <c r="HN45" s="987"/>
      <c r="HO45" s="987"/>
      <c r="HP45" s="987"/>
      <c r="HQ45" s="987"/>
      <c r="HR45" s="987"/>
      <c r="HS45" s="987"/>
      <c r="HT45" s="987"/>
      <c r="HU45" s="987"/>
      <c r="HV45" s="987"/>
      <c r="HW45" s="987"/>
      <c r="HX45" s="987"/>
      <c r="HY45" s="987"/>
      <c r="HZ45" s="987"/>
      <c r="IA45" s="987"/>
      <c r="IB45" s="987"/>
      <c r="IC45" s="987"/>
      <c r="ID45" s="987"/>
      <c r="IE45" s="987"/>
      <c r="IF45" s="987"/>
      <c r="IG45" s="987"/>
      <c r="IH45" s="987"/>
      <c r="II45" s="987"/>
      <c r="IJ45" s="987"/>
      <c r="IK45" s="987"/>
      <c r="IL45" s="987"/>
      <c r="IM45" s="987"/>
      <c r="IN45" s="987"/>
      <c r="IO45" s="987"/>
      <c r="IP45" s="987"/>
      <c r="IQ45" s="987"/>
      <c r="IR45" s="987"/>
      <c r="IS45" s="987"/>
      <c r="IT45" s="987"/>
      <c r="IU45" s="987"/>
      <c r="IV45" s="987"/>
      <c r="IW45" s="987"/>
      <c r="IX45" s="987"/>
      <c r="IY45" s="987"/>
      <c r="IZ45" s="987"/>
      <c r="JA45" s="987"/>
      <c r="JB45" s="987"/>
      <c r="JC45" s="987"/>
      <c r="JD45" s="987"/>
      <c r="JE45" s="987"/>
      <c r="JF45" s="987"/>
      <c r="JG45" s="987"/>
      <c r="JH45" s="987"/>
      <c r="JI45" s="987"/>
      <c r="JJ45" s="987"/>
      <c r="JK45" s="987"/>
      <c r="JL45" s="987"/>
      <c r="JM45" s="987"/>
      <c r="JN45" s="987"/>
      <c r="JO45" s="987"/>
      <c r="JP45" s="987"/>
      <c r="JQ45" s="987"/>
      <c r="JR45" s="987"/>
      <c r="JS45" s="987"/>
      <c r="JT45" s="987"/>
      <c r="JU45" s="987"/>
      <c r="JV45" s="987"/>
      <c r="JW45" s="987"/>
      <c r="JX45" s="987"/>
      <c r="JY45" s="987"/>
      <c r="JZ45" s="987"/>
      <c r="KA45" s="987"/>
      <c r="KB45" s="987"/>
      <c r="KC45" s="987"/>
      <c r="KD45" s="987"/>
      <c r="KE45" s="987"/>
      <c r="KF45" s="987"/>
      <c r="KG45" s="987"/>
      <c r="KH45" s="987"/>
      <c r="KI45" s="987"/>
      <c r="KJ45" s="987"/>
      <c r="KK45" s="987"/>
      <c r="KL45" s="987"/>
      <c r="KM45" s="987"/>
      <c r="KN45" s="987"/>
      <c r="KO45" s="987"/>
      <c r="KP45" s="987"/>
      <c r="KQ45" s="987"/>
      <c r="KR45" s="987"/>
      <c r="KS45" s="987"/>
      <c r="KT45" s="987"/>
      <c r="KU45" s="987"/>
      <c r="KV45" s="987"/>
      <c r="KW45" s="987"/>
      <c r="KX45" s="987"/>
      <c r="KY45" s="987"/>
      <c r="KZ45" s="987"/>
      <c r="LA45" s="987"/>
      <c r="LB45" s="987"/>
      <c r="LC45" s="987"/>
      <c r="LD45" s="987"/>
      <c r="LE45" s="987"/>
      <c r="LF45" s="987"/>
      <c r="LG45" s="987"/>
      <c r="LH45" s="987"/>
      <c r="LI45" s="987"/>
      <c r="LJ45" s="987"/>
      <c r="LK45" s="987"/>
      <c r="LL45" s="987"/>
      <c r="LM45" s="987"/>
      <c r="LN45" s="987"/>
      <c r="LO45" s="987"/>
      <c r="LP45" s="987"/>
      <c r="LQ45" s="987"/>
      <c r="LR45" s="987"/>
      <c r="LS45" s="987"/>
      <c r="LT45" s="987"/>
      <c r="LU45" s="987"/>
      <c r="LV45" s="987"/>
      <c r="LW45" s="987"/>
      <c r="LX45" s="987"/>
      <c r="LY45" s="987"/>
      <c r="LZ45" s="987"/>
      <c r="MA45" s="987"/>
      <c r="MB45" s="987"/>
      <c r="MC45" s="987"/>
      <c r="MD45" s="987"/>
      <c r="ME45" s="987"/>
      <c r="MF45" s="987"/>
      <c r="MG45" s="987"/>
      <c r="MH45" s="987"/>
      <c r="MI45" s="987"/>
      <c r="MJ45" s="987"/>
      <c r="MK45" s="987"/>
      <c r="ML45" s="987"/>
      <c r="MM45" s="987"/>
      <c r="MN45" s="987"/>
      <c r="MO45" s="987"/>
      <c r="MP45" s="987"/>
      <c r="MQ45" s="987"/>
      <c r="MR45" s="987"/>
      <c r="MS45" s="987"/>
      <c r="MT45" s="987"/>
      <c r="MU45" s="987"/>
      <c r="MV45" s="987"/>
      <c r="MW45" s="987"/>
      <c r="MX45" s="987"/>
      <c r="MY45" s="987"/>
      <c r="MZ45" s="987"/>
      <c r="NA45" s="987"/>
      <c r="NB45" s="987"/>
      <c r="NC45" s="987"/>
      <c r="ND45" s="987"/>
      <c r="NE45" s="987"/>
      <c r="NF45" s="987"/>
      <c r="NG45" s="987"/>
      <c r="NH45" s="987"/>
      <c r="NI45" s="987"/>
      <c r="NJ45" s="987"/>
      <c r="NK45" s="987"/>
      <c r="NL45" s="987"/>
      <c r="NM45" s="987"/>
      <c r="NN45" s="987"/>
      <c r="NO45" s="987"/>
      <c r="NP45" s="987"/>
      <c r="NQ45" s="987"/>
      <c r="NR45" s="987"/>
      <c r="NS45" s="987"/>
      <c r="NT45" s="987"/>
      <c r="NU45" s="987"/>
      <c r="NV45" s="987"/>
      <c r="NW45" s="987"/>
      <c r="NX45" s="987"/>
      <c r="NY45" s="987"/>
      <c r="NZ45" s="987"/>
      <c r="OA45" s="987"/>
      <c r="OB45" s="987"/>
      <c r="OC45" s="987"/>
      <c r="OD45" s="987"/>
      <c r="OE45" s="987"/>
      <c r="OF45" s="987"/>
      <c r="OG45" s="987"/>
      <c r="OH45" s="987"/>
      <c r="OI45" s="987"/>
      <c r="OJ45" s="987"/>
      <c r="OK45" s="987"/>
      <c r="OL45" s="987"/>
      <c r="OM45" s="987"/>
      <c r="ON45" s="987"/>
      <c r="OO45" s="987"/>
      <c r="OP45" s="987"/>
      <c r="OQ45" s="987"/>
      <c r="OR45" s="987"/>
      <c r="OS45" s="987"/>
      <c r="OT45" s="987"/>
      <c r="OU45" s="987"/>
      <c r="OV45" s="987"/>
      <c r="OW45" s="987"/>
      <c r="OX45" s="987"/>
      <c r="OY45" s="987"/>
      <c r="OZ45" s="987"/>
      <c r="PA45" s="987"/>
      <c r="PB45" s="987"/>
      <c r="PC45" s="987"/>
      <c r="PD45" s="987"/>
      <c r="PE45" s="987"/>
      <c r="PF45" s="987"/>
      <c r="PG45" s="987"/>
      <c r="PH45" s="987"/>
      <c r="PI45" s="987"/>
      <c r="PJ45" s="987"/>
      <c r="PK45" s="987"/>
      <c r="PL45" s="987"/>
      <c r="PM45" s="987"/>
      <c r="PN45" s="987"/>
      <c r="PO45" s="987"/>
      <c r="PP45" s="987"/>
      <c r="PQ45" s="987"/>
      <c r="PR45" s="987"/>
      <c r="PS45" s="987"/>
      <c r="PT45" s="987"/>
      <c r="PU45" s="987"/>
      <c r="PV45" s="987"/>
      <c r="PW45" s="987"/>
      <c r="PX45" s="987"/>
      <c r="PY45" s="987"/>
      <c r="PZ45" s="987"/>
      <c r="QA45" s="987"/>
      <c r="QB45" s="987"/>
      <c r="QC45" s="987"/>
      <c r="QD45" s="987"/>
      <c r="QE45" s="987"/>
      <c r="QF45" s="987"/>
      <c r="QG45" s="987"/>
      <c r="QH45" s="987"/>
      <c r="QI45" s="987"/>
      <c r="QJ45" s="987"/>
      <c r="QK45" s="987"/>
      <c r="QL45" s="987"/>
      <c r="QM45" s="987"/>
      <c r="QN45" s="987"/>
      <c r="QO45" s="987"/>
      <c r="QP45" s="987"/>
      <c r="QQ45" s="987"/>
      <c r="QR45" s="987"/>
      <c r="QS45" s="987"/>
      <c r="QT45" s="987"/>
      <c r="QU45" s="987"/>
      <c r="QV45" s="987"/>
      <c r="QW45" s="987"/>
      <c r="QX45" s="987"/>
      <c r="QY45" s="987"/>
      <c r="QZ45" s="987"/>
      <c r="RA45" s="987"/>
      <c r="RB45" s="987"/>
      <c r="RC45" s="987"/>
      <c r="RD45" s="987"/>
      <c r="RE45" s="987"/>
      <c r="RF45" s="987"/>
      <c r="RG45" s="987"/>
      <c r="RH45" s="987"/>
      <c r="RI45" s="987"/>
      <c r="RJ45" s="987"/>
      <c r="RK45" s="987"/>
      <c r="RL45" s="987"/>
      <c r="RM45" s="987"/>
      <c r="RN45" s="987"/>
      <c r="RO45" s="987"/>
      <c r="RP45" s="987"/>
      <c r="RQ45" s="987"/>
      <c r="RR45" s="987"/>
      <c r="RS45" s="987"/>
      <c r="RT45" s="987"/>
      <c r="RU45" s="987"/>
      <c r="RV45" s="987"/>
      <c r="RW45" s="987"/>
      <c r="RX45" s="987"/>
      <c r="RY45" s="987"/>
      <c r="RZ45" s="987"/>
      <c r="SA45" s="987"/>
      <c r="SB45" s="987"/>
      <c r="SC45" s="987"/>
      <c r="SD45" s="987"/>
      <c r="SE45" s="987"/>
      <c r="SF45" s="987"/>
      <c r="SG45" s="987"/>
      <c r="SH45" s="987"/>
      <c r="SI45" s="987"/>
      <c r="SJ45" s="987"/>
      <c r="SK45" s="987"/>
      <c r="SL45" s="987"/>
      <c r="SM45" s="987"/>
      <c r="SN45" s="987"/>
      <c r="SO45" s="987"/>
      <c r="SP45" s="987"/>
      <c r="SQ45" s="987"/>
      <c r="SR45" s="987"/>
      <c r="SS45" s="987"/>
      <c r="ST45" s="987"/>
      <c r="SU45" s="987"/>
      <c r="SV45" s="987"/>
      <c r="SW45" s="987"/>
      <c r="SX45" s="987"/>
      <c r="SY45" s="987"/>
      <c r="SZ45" s="987"/>
      <c r="TA45" s="987"/>
      <c r="TB45" s="987"/>
      <c r="TC45" s="987"/>
      <c r="TD45" s="987"/>
      <c r="TE45" s="987"/>
      <c r="TF45" s="987"/>
      <c r="TG45" s="987"/>
      <c r="TH45" s="987"/>
      <c r="TI45" s="987"/>
      <c r="TJ45" s="987"/>
      <c r="TK45" s="987"/>
      <c r="TL45" s="987"/>
      <c r="TM45" s="987"/>
      <c r="TN45" s="987"/>
      <c r="TO45" s="987"/>
      <c r="TP45" s="987"/>
      <c r="TQ45" s="987"/>
      <c r="TR45" s="987"/>
      <c r="TS45" s="987"/>
      <c r="TT45" s="987"/>
      <c r="TU45" s="987"/>
      <c r="TV45" s="987"/>
      <c r="TW45" s="987"/>
      <c r="TX45" s="987"/>
      <c r="TY45" s="987"/>
      <c r="TZ45" s="987"/>
      <c r="UA45" s="987"/>
      <c r="UB45" s="987"/>
      <c r="UC45" s="987"/>
      <c r="UD45" s="987"/>
      <c r="UE45" s="987"/>
      <c r="UF45" s="987"/>
      <c r="UG45" s="987"/>
      <c r="UH45" s="987"/>
      <c r="UI45" s="987"/>
      <c r="UJ45" s="987"/>
      <c r="UK45" s="987"/>
      <c r="UL45" s="987"/>
      <c r="UM45" s="987"/>
      <c r="UN45" s="987"/>
      <c r="UO45" s="987"/>
      <c r="UP45" s="987"/>
      <c r="UQ45" s="987"/>
      <c r="UR45" s="987"/>
      <c r="US45" s="987"/>
      <c r="UT45" s="987"/>
      <c r="UU45" s="987"/>
      <c r="UV45" s="987"/>
      <c r="UW45" s="987"/>
      <c r="UX45" s="987"/>
      <c r="UY45" s="987"/>
      <c r="UZ45" s="987"/>
      <c r="VA45" s="987"/>
      <c r="VB45" s="987"/>
      <c r="VC45" s="987"/>
      <c r="VD45" s="987"/>
      <c r="VE45" s="987"/>
      <c r="VF45" s="987"/>
      <c r="VG45" s="987"/>
      <c r="VH45" s="987"/>
      <c r="VI45" s="987"/>
      <c r="VJ45" s="987"/>
      <c r="VK45" s="987"/>
      <c r="VL45" s="987"/>
      <c r="VM45" s="987"/>
      <c r="VN45" s="987"/>
      <c r="VO45" s="987"/>
      <c r="VP45" s="987"/>
      <c r="VQ45" s="987"/>
      <c r="VR45" s="987"/>
      <c r="VS45" s="987"/>
      <c r="VT45" s="987"/>
      <c r="VU45" s="987"/>
      <c r="VV45" s="987"/>
      <c r="VW45" s="987"/>
      <c r="VX45" s="987"/>
      <c r="VY45" s="987"/>
      <c r="VZ45" s="987"/>
      <c r="WA45" s="987"/>
      <c r="WB45" s="987"/>
      <c r="WC45" s="987"/>
      <c r="WD45" s="987"/>
      <c r="WE45" s="987"/>
      <c r="WF45" s="987"/>
      <c r="WG45" s="987"/>
      <c r="WH45" s="987"/>
      <c r="WI45" s="987"/>
      <c r="WJ45" s="987"/>
      <c r="WK45" s="987"/>
      <c r="WL45" s="987"/>
      <c r="WM45" s="987"/>
      <c r="WN45" s="987"/>
      <c r="WO45" s="987"/>
      <c r="WP45" s="987"/>
      <c r="WQ45" s="987"/>
      <c r="WR45" s="987"/>
      <c r="WS45" s="987"/>
      <c r="WT45" s="987"/>
      <c r="WU45" s="987"/>
      <c r="WV45" s="987"/>
      <c r="WW45" s="987"/>
      <c r="WX45" s="987"/>
      <c r="WY45" s="987"/>
      <c r="WZ45" s="987"/>
      <c r="XA45" s="987"/>
      <c r="XB45" s="987"/>
      <c r="XC45" s="987"/>
      <c r="XD45" s="987"/>
      <c r="XE45" s="987"/>
      <c r="XF45" s="987"/>
      <c r="XG45" s="987"/>
      <c r="XH45" s="987"/>
      <c r="XI45" s="987"/>
      <c r="XJ45" s="987"/>
      <c r="XK45" s="987"/>
      <c r="XL45" s="987"/>
      <c r="XM45" s="987"/>
      <c r="XN45" s="987"/>
      <c r="XO45" s="987"/>
      <c r="XP45" s="987"/>
      <c r="XQ45" s="987"/>
      <c r="XR45" s="987"/>
      <c r="XS45" s="987"/>
      <c r="XT45" s="987"/>
      <c r="XU45" s="987"/>
      <c r="XV45" s="987"/>
      <c r="XW45" s="987"/>
      <c r="XX45" s="987"/>
      <c r="XY45" s="987"/>
      <c r="XZ45" s="987"/>
      <c r="YA45" s="987"/>
      <c r="YB45" s="987"/>
      <c r="YC45" s="987"/>
      <c r="YD45" s="987"/>
      <c r="YE45" s="987"/>
      <c r="YF45" s="987"/>
      <c r="YG45" s="987"/>
      <c r="YH45" s="987"/>
      <c r="YI45" s="987"/>
      <c r="YJ45" s="987"/>
      <c r="YK45" s="987"/>
      <c r="YL45" s="987"/>
      <c r="YM45" s="987"/>
      <c r="YN45" s="987"/>
      <c r="YO45" s="987"/>
      <c r="YP45" s="987"/>
      <c r="YQ45" s="987"/>
      <c r="YR45" s="987"/>
      <c r="YS45" s="987"/>
      <c r="YT45" s="987"/>
      <c r="YU45" s="987"/>
      <c r="YV45" s="987"/>
      <c r="YW45" s="987"/>
      <c r="YX45" s="987"/>
      <c r="YY45" s="987"/>
      <c r="YZ45" s="987"/>
      <c r="ZA45" s="987"/>
      <c r="ZB45" s="987"/>
      <c r="ZC45" s="987"/>
      <c r="ZD45" s="987"/>
      <c r="ZE45" s="987"/>
      <c r="ZF45" s="987"/>
      <c r="ZG45" s="987"/>
      <c r="ZH45" s="987"/>
      <c r="ZI45" s="987"/>
      <c r="ZJ45" s="987"/>
      <c r="ZK45" s="987"/>
      <c r="ZL45" s="987"/>
      <c r="ZM45" s="987"/>
      <c r="ZN45" s="987"/>
      <c r="ZO45" s="987"/>
      <c r="ZP45" s="987"/>
      <c r="ZQ45" s="987"/>
      <c r="ZR45" s="987"/>
      <c r="ZS45" s="987"/>
      <c r="ZT45" s="987"/>
      <c r="ZU45" s="987"/>
      <c r="ZV45" s="987"/>
      <c r="ZW45" s="987"/>
      <c r="ZX45" s="987"/>
      <c r="ZY45" s="987"/>
      <c r="ZZ45" s="987"/>
      <c r="AAA45" s="987"/>
      <c r="AAB45" s="987"/>
      <c r="AAC45" s="987"/>
      <c r="AAD45" s="987"/>
      <c r="AAE45" s="987"/>
      <c r="AAF45" s="987"/>
      <c r="AAG45" s="987"/>
      <c r="AAH45" s="987"/>
      <c r="AAI45" s="987"/>
      <c r="AAJ45" s="987"/>
      <c r="AAK45" s="987"/>
      <c r="AAL45" s="987"/>
      <c r="AAM45" s="987"/>
      <c r="AAN45" s="987"/>
      <c r="AAO45" s="987"/>
      <c r="AAP45" s="987"/>
      <c r="AAQ45" s="987"/>
      <c r="AAR45" s="987"/>
      <c r="AAS45" s="987"/>
      <c r="AAT45" s="987"/>
      <c r="AAU45" s="987"/>
      <c r="AAV45" s="987"/>
      <c r="AAW45" s="987"/>
      <c r="AAX45" s="987"/>
      <c r="AAY45" s="987"/>
      <c r="AAZ45" s="987"/>
      <c r="ABA45" s="987"/>
      <c r="ABB45" s="987"/>
      <c r="ABC45" s="987"/>
      <c r="ABD45" s="987"/>
      <c r="ABE45" s="987"/>
      <c r="ABF45" s="987"/>
      <c r="ABG45" s="987"/>
      <c r="ABH45" s="987"/>
      <c r="ABI45" s="987"/>
      <c r="ABJ45" s="987"/>
      <c r="ABK45" s="987"/>
      <c r="ABL45" s="987"/>
      <c r="ABM45" s="987"/>
      <c r="ABN45" s="987"/>
      <c r="ABO45" s="987"/>
      <c r="ABP45" s="987"/>
      <c r="ABQ45" s="987"/>
      <c r="ABR45" s="987"/>
      <c r="ABS45" s="987"/>
      <c r="ABT45" s="987"/>
      <c r="ABU45" s="987"/>
      <c r="ABV45" s="987"/>
      <c r="ABW45" s="987"/>
      <c r="ABX45" s="987"/>
      <c r="ABY45" s="987"/>
      <c r="ABZ45" s="987"/>
      <c r="ACA45" s="987"/>
      <c r="ACB45" s="987"/>
      <c r="ACC45" s="987"/>
      <c r="ACD45" s="987"/>
      <c r="ACE45" s="987"/>
      <c r="ACF45" s="987"/>
      <c r="ACG45" s="987"/>
      <c r="ACH45" s="987"/>
      <c r="ACI45" s="987"/>
      <c r="ACJ45" s="987"/>
      <c r="ACK45" s="987"/>
      <c r="ACL45" s="987"/>
      <c r="ACM45" s="987"/>
      <c r="ACN45" s="987"/>
      <c r="ACO45" s="987"/>
      <c r="ACP45" s="987"/>
      <c r="ACQ45" s="987"/>
      <c r="ACR45" s="987"/>
      <c r="ACS45" s="987"/>
      <c r="ACT45" s="987"/>
      <c r="ACU45" s="987"/>
      <c r="ACV45" s="987"/>
      <c r="ACW45" s="987"/>
      <c r="ACX45" s="987"/>
      <c r="ACY45" s="987"/>
      <c r="ACZ45" s="987"/>
      <c r="ADA45" s="987"/>
      <c r="ADB45" s="987"/>
      <c r="ADC45" s="987"/>
      <c r="ADD45" s="987"/>
      <c r="ADE45" s="987"/>
      <c r="ADF45" s="987"/>
      <c r="ADG45" s="987"/>
      <c r="ADH45" s="987"/>
      <c r="ADI45" s="987"/>
      <c r="ADJ45" s="987"/>
      <c r="ADK45" s="987"/>
      <c r="ADL45" s="987"/>
      <c r="ADM45" s="987"/>
      <c r="ADN45" s="987"/>
      <c r="ADO45" s="987"/>
      <c r="ADP45" s="987"/>
      <c r="ADQ45" s="987"/>
      <c r="ADR45" s="987"/>
      <c r="ADS45" s="987"/>
      <c r="ADT45" s="987"/>
      <c r="ADU45" s="987"/>
      <c r="ADV45" s="987"/>
      <c r="ADW45" s="987"/>
      <c r="ADX45" s="987"/>
      <c r="ADY45" s="987"/>
      <c r="ADZ45" s="987"/>
      <c r="AEA45" s="987"/>
      <c r="AEB45" s="987"/>
      <c r="AEC45" s="987"/>
      <c r="AED45" s="987"/>
      <c r="AEE45" s="987"/>
      <c r="AEF45" s="987"/>
      <c r="AEG45" s="987"/>
      <c r="AEH45" s="987"/>
      <c r="AEI45" s="987"/>
      <c r="AEJ45" s="987"/>
      <c r="AEK45" s="987"/>
      <c r="AEL45" s="987"/>
      <c r="AEM45" s="987"/>
      <c r="AEN45" s="987"/>
      <c r="AEO45" s="987"/>
      <c r="AEP45" s="987"/>
      <c r="AEQ45" s="987"/>
      <c r="AER45" s="987"/>
      <c r="AES45" s="987"/>
      <c r="AET45" s="987"/>
      <c r="AEU45" s="987"/>
      <c r="AEV45" s="987"/>
      <c r="AEW45" s="987"/>
      <c r="AEX45" s="987"/>
      <c r="AEY45" s="987"/>
      <c r="AEZ45" s="987"/>
      <c r="AFA45" s="987"/>
      <c r="AFB45" s="987"/>
      <c r="AFC45" s="987"/>
      <c r="AFD45" s="987"/>
      <c r="AFE45" s="987"/>
      <c r="AFF45" s="987"/>
      <c r="AFG45" s="987"/>
      <c r="AFH45" s="987"/>
      <c r="AFI45" s="987"/>
      <c r="AFJ45" s="987"/>
      <c r="AFK45" s="987"/>
      <c r="AFL45" s="987"/>
      <c r="AFM45" s="987"/>
      <c r="AFN45" s="987"/>
      <c r="AFO45" s="987"/>
      <c r="AFP45" s="987"/>
      <c r="AFQ45" s="987"/>
      <c r="AFR45" s="987"/>
      <c r="AFS45" s="987"/>
      <c r="AFT45" s="987"/>
      <c r="AFU45" s="987"/>
      <c r="AFV45" s="987"/>
      <c r="AFW45" s="987"/>
      <c r="AFX45" s="987"/>
      <c r="AFY45" s="987"/>
      <c r="AFZ45" s="987"/>
      <c r="AGA45" s="987"/>
      <c r="AGB45" s="987"/>
      <c r="AGC45" s="987"/>
      <c r="AGD45" s="987"/>
      <c r="AGE45" s="987"/>
      <c r="AGF45" s="987"/>
      <c r="AGG45" s="987"/>
      <c r="AGH45" s="987"/>
      <c r="AGI45" s="987"/>
      <c r="AGJ45" s="987"/>
      <c r="AGK45" s="987"/>
      <c r="AGL45" s="987"/>
      <c r="AGM45" s="987"/>
      <c r="AGN45" s="987"/>
      <c r="AGO45" s="987"/>
      <c r="AGP45" s="987"/>
      <c r="AGQ45" s="987"/>
      <c r="AGR45" s="987"/>
      <c r="AGS45" s="987"/>
      <c r="AGT45" s="987"/>
      <c r="AGU45" s="987"/>
      <c r="AGV45" s="987"/>
      <c r="AGW45" s="987"/>
      <c r="AGX45" s="987"/>
      <c r="AGY45" s="987"/>
      <c r="AGZ45" s="987"/>
      <c r="AHA45" s="987"/>
      <c r="AHB45" s="987"/>
      <c r="AHC45" s="987"/>
      <c r="AHD45" s="987"/>
      <c r="AHE45" s="987"/>
      <c r="AHF45" s="987"/>
      <c r="AHG45" s="987"/>
      <c r="AHH45" s="987"/>
      <c r="AHI45" s="987"/>
      <c r="AHJ45" s="987"/>
      <c r="AHK45" s="987"/>
      <c r="AHL45" s="987"/>
      <c r="AHM45" s="987"/>
      <c r="AHN45" s="987"/>
      <c r="AHO45" s="987"/>
      <c r="AHP45" s="987"/>
      <c r="AHQ45" s="987"/>
      <c r="AHR45" s="987"/>
      <c r="AHS45" s="987"/>
      <c r="AHT45" s="987"/>
      <c r="AHU45" s="987"/>
      <c r="AHV45" s="987"/>
      <c r="AHW45" s="987"/>
      <c r="AHX45" s="987"/>
      <c r="AHY45" s="987"/>
      <c r="AHZ45" s="987"/>
      <c r="AIA45" s="987"/>
      <c r="AIB45" s="987"/>
      <c r="AIC45" s="987"/>
      <c r="AID45" s="987"/>
      <c r="AIE45" s="987"/>
      <c r="AIF45" s="987"/>
      <c r="AIG45" s="987"/>
      <c r="AIH45" s="987"/>
      <c r="AII45" s="987"/>
      <c r="AIJ45" s="987"/>
      <c r="AIK45" s="987"/>
      <c r="AIL45" s="987"/>
      <c r="AIM45" s="987"/>
      <c r="AIN45" s="987"/>
      <c r="AIO45" s="987"/>
      <c r="AIP45" s="987"/>
      <c r="AIQ45" s="987"/>
      <c r="AIR45" s="987"/>
      <c r="AIS45" s="987"/>
      <c r="AIT45" s="987"/>
      <c r="AIU45" s="987"/>
      <c r="AIV45" s="987"/>
      <c r="AIW45" s="987"/>
      <c r="AIX45" s="987"/>
      <c r="AIY45" s="987"/>
      <c r="AIZ45" s="987"/>
      <c r="AJA45" s="987"/>
      <c r="AJB45" s="987"/>
      <c r="AJC45" s="987"/>
      <c r="AJD45" s="987"/>
      <c r="AJE45" s="987"/>
      <c r="AJF45" s="987"/>
      <c r="AJG45" s="987"/>
      <c r="AJH45" s="987"/>
      <c r="AJI45" s="987"/>
      <c r="AJJ45" s="987"/>
      <c r="AJK45" s="987"/>
      <c r="AJL45" s="987"/>
      <c r="AJM45" s="987"/>
      <c r="AJN45" s="987"/>
      <c r="AJO45" s="987"/>
      <c r="AJP45" s="987"/>
      <c r="AJQ45" s="987"/>
      <c r="AJR45" s="987"/>
      <c r="AJS45" s="987"/>
      <c r="AJT45" s="987"/>
      <c r="AJU45" s="987"/>
      <c r="AJV45" s="987"/>
      <c r="AJW45" s="987"/>
      <c r="AJX45" s="987"/>
      <c r="AJY45" s="987"/>
      <c r="AJZ45" s="987"/>
      <c r="AKA45" s="987"/>
      <c r="AKB45" s="987"/>
      <c r="AKC45" s="987"/>
      <c r="AKD45" s="987"/>
      <c r="AKE45" s="987"/>
      <c r="AKF45" s="987"/>
      <c r="AKG45" s="987"/>
      <c r="AKH45" s="987"/>
      <c r="AKI45" s="987"/>
      <c r="AKJ45" s="987"/>
      <c r="AKK45" s="987"/>
      <c r="AKL45" s="987"/>
      <c r="AKM45" s="987"/>
      <c r="AKN45" s="987"/>
      <c r="AKO45" s="987"/>
      <c r="AKP45" s="987"/>
      <c r="AKQ45" s="987"/>
      <c r="AKR45" s="987"/>
      <c r="AKS45" s="987"/>
      <c r="AKT45" s="987"/>
      <c r="AKU45" s="987"/>
      <c r="AKV45" s="987"/>
      <c r="AKW45" s="987"/>
      <c r="AKX45" s="987"/>
      <c r="AKY45" s="987"/>
      <c r="AKZ45" s="987"/>
      <c r="ALA45" s="987"/>
      <c r="ALB45" s="987"/>
      <c r="ALC45" s="987"/>
      <c r="ALD45" s="987"/>
      <c r="ALE45" s="987"/>
      <c r="ALF45" s="987"/>
      <c r="ALG45" s="987"/>
      <c r="ALH45" s="987"/>
      <c r="ALI45" s="987"/>
      <c r="ALJ45" s="987"/>
      <c r="ALK45" s="987"/>
      <c r="ALL45" s="987"/>
      <c r="ALM45" s="987"/>
      <c r="ALN45" s="987"/>
      <c r="ALO45" s="987"/>
      <c r="ALP45" s="987"/>
      <c r="ALQ45" s="987"/>
      <c r="ALR45" s="987"/>
      <c r="ALS45" s="987"/>
      <c r="ALT45" s="987"/>
      <c r="ALU45" s="987"/>
      <c r="ALV45" s="987"/>
      <c r="ALW45" s="987"/>
      <c r="ALX45" s="987"/>
      <c r="ALY45" s="987"/>
      <c r="ALZ45" s="987"/>
      <c r="AMA45" s="987"/>
      <c r="AMB45" s="987"/>
      <c r="AMC45" s="987"/>
      <c r="AMD45" s="987"/>
      <c r="AME45" s="987"/>
      <c r="AMF45" s="987"/>
      <c r="AMG45" s="987"/>
      <c r="AMH45" s="987"/>
      <c r="AMI45" s="987"/>
      <c r="AMJ45" s="987"/>
      <c r="AMK45" s="987"/>
      <c r="AML45" s="987"/>
      <c r="AMM45" s="987"/>
      <c r="AMN45" s="987"/>
      <c r="AMO45" s="987"/>
      <c r="AMP45" s="987"/>
      <c r="AMQ45" s="987"/>
      <c r="AMR45" s="987"/>
      <c r="AMS45" s="987"/>
      <c r="AMT45" s="987"/>
      <c r="AMU45" s="987"/>
      <c r="AMV45" s="987"/>
      <c r="AMW45" s="987"/>
      <c r="AMX45" s="987"/>
      <c r="AMY45" s="987"/>
      <c r="AMZ45" s="987"/>
      <c r="ANA45" s="987"/>
      <c r="ANB45" s="987"/>
      <c r="ANC45" s="987"/>
      <c r="AND45" s="987"/>
      <c r="ANE45" s="987"/>
      <c r="ANF45" s="987"/>
      <c r="ANG45" s="987"/>
      <c r="ANH45" s="987"/>
      <c r="ANI45" s="987"/>
      <c r="ANJ45" s="987"/>
      <c r="ANK45" s="987"/>
      <c r="ANL45" s="987"/>
      <c r="ANM45" s="987"/>
      <c r="ANN45" s="987"/>
      <c r="ANO45" s="987"/>
      <c r="ANP45" s="987"/>
      <c r="ANQ45" s="987"/>
      <c r="ANR45" s="987"/>
      <c r="ANS45" s="987"/>
      <c r="ANT45" s="987"/>
      <c r="ANU45" s="987"/>
      <c r="ANV45" s="987"/>
      <c r="ANW45" s="987"/>
      <c r="ANX45" s="987"/>
      <c r="ANY45" s="987"/>
      <c r="ANZ45" s="987"/>
      <c r="AOA45" s="987"/>
      <c r="AOB45" s="987"/>
      <c r="AOC45" s="987"/>
      <c r="AOD45" s="987"/>
      <c r="AOE45" s="987"/>
      <c r="AOF45" s="987"/>
      <c r="AOG45" s="987"/>
      <c r="AOH45" s="987"/>
      <c r="AOI45" s="987"/>
      <c r="AOJ45" s="987"/>
      <c r="AOK45" s="987"/>
      <c r="AOL45" s="987"/>
      <c r="AOM45" s="987"/>
      <c r="AON45" s="987"/>
      <c r="AOO45" s="987"/>
      <c r="AOP45" s="987"/>
      <c r="AOQ45" s="987"/>
      <c r="AOR45" s="987"/>
      <c r="AOS45" s="987"/>
      <c r="AOT45" s="987"/>
      <c r="AOU45" s="987"/>
      <c r="AOV45" s="987"/>
      <c r="AOW45" s="987"/>
      <c r="AOX45" s="987"/>
      <c r="AOY45" s="987"/>
      <c r="AOZ45" s="987"/>
      <c r="APA45" s="987"/>
      <c r="APB45" s="987"/>
      <c r="APC45" s="987"/>
      <c r="APD45" s="987"/>
      <c r="APE45" s="987"/>
      <c r="APF45" s="987"/>
      <c r="APG45" s="987"/>
      <c r="APH45" s="987"/>
      <c r="API45" s="987"/>
      <c r="APJ45" s="987"/>
      <c r="APK45" s="987"/>
      <c r="APL45" s="987"/>
      <c r="APM45" s="987"/>
      <c r="APN45" s="987"/>
      <c r="APO45" s="987"/>
      <c r="APP45" s="987"/>
      <c r="APQ45" s="987"/>
      <c r="APR45" s="987"/>
      <c r="APS45" s="987"/>
      <c r="APT45" s="987"/>
      <c r="APU45" s="987"/>
      <c r="APV45" s="987"/>
      <c r="APW45" s="987"/>
      <c r="APX45" s="987"/>
      <c r="APY45" s="987"/>
      <c r="APZ45" s="987"/>
      <c r="AQA45" s="987"/>
      <c r="AQB45" s="987"/>
      <c r="AQC45" s="987"/>
      <c r="AQD45" s="987"/>
      <c r="AQE45" s="987"/>
      <c r="AQF45" s="987"/>
      <c r="AQG45" s="987"/>
      <c r="AQH45" s="987"/>
      <c r="AQI45" s="987"/>
      <c r="AQJ45" s="987"/>
      <c r="AQK45" s="987"/>
      <c r="AQL45" s="987"/>
      <c r="AQM45" s="987"/>
      <c r="AQN45" s="987"/>
      <c r="AQO45" s="987"/>
      <c r="AQP45" s="987"/>
      <c r="AQQ45" s="987"/>
      <c r="AQR45" s="987"/>
      <c r="AQS45" s="987"/>
      <c r="AQT45" s="987"/>
      <c r="AQU45" s="987"/>
      <c r="AQV45" s="987"/>
      <c r="AQW45" s="987"/>
      <c r="AQX45" s="987"/>
      <c r="AQY45" s="987"/>
      <c r="AQZ45" s="987"/>
      <c r="ARA45" s="987"/>
      <c r="ARB45" s="987"/>
      <c r="ARC45" s="987"/>
      <c r="ARD45" s="987"/>
      <c r="ARE45" s="987"/>
      <c r="ARF45" s="987"/>
      <c r="ARG45" s="987"/>
      <c r="ARH45" s="987"/>
      <c r="ARI45" s="987"/>
      <c r="ARJ45" s="987"/>
      <c r="ARK45" s="987"/>
      <c r="ARL45" s="987"/>
      <c r="ARM45" s="987"/>
      <c r="ARN45" s="987"/>
      <c r="ARO45" s="987"/>
      <c r="ARP45" s="987"/>
      <c r="ARQ45" s="987"/>
      <c r="ARR45" s="987"/>
      <c r="ARS45" s="987"/>
      <c r="ART45" s="987"/>
      <c r="ARU45" s="987"/>
      <c r="ARV45" s="987"/>
      <c r="ARW45" s="987"/>
      <c r="ARX45" s="987"/>
      <c r="ARY45" s="987"/>
      <c r="ARZ45" s="987"/>
      <c r="ASA45" s="987"/>
      <c r="ASB45" s="987"/>
      <c r="ASC45" s="987"/>
      <c r="ASD45" s="987"/>
      <c r="ASE45" s="987"/>
      <c r="ASF45" s="987"/>
      <c r="ASG45" s="987"/>
      <c r="ASH45" s="987"/>
      <c r="ASI45" s="987"/>
      <c r="ASJ45" s="987"/>
      <c r="ASK45" s="987"/>
      <c r="ASL45" s="987"/>
      <c r="ASM45" s="987"/>
      <c r="ASN45" s="987"/>
      <c r="ASO45" s="987"/>
      <c r="ASP45" s="987"/>
      <c r="ASQ45" s="987"/>
      <c r="ASR45" s="987"/>
      <c r="ASS45" s="987"/>
      <c r="AST45" s="987"/>
      <c r="ASU45" s="987"/>
      <c r="ASV45" s="987"/>
      <c r="ASW45" s="987"/>
      <c r="ASX45" s="987"/>
      <c r="ASY45" s="987"/>
      <c r="ASZ45" s="987"/>
      <c r="ATA45" s="987"/>
      <c r="ATB45" s="987"/>
      <c r="ATC45" s="987"/>
      <c r="ATD45" s="987"/>
      <c r="ATE45" s="987"/>
      <c r="ATF45" s="987"/>
      <c r="ATG45" s="987"/>
      <c r="ATH45" s="987"/>
      <c r="ATI45" s="987"/>
      <c r="ATJ45" s="987"/>
      <c r="ATK45" s="987"/>
      <c r="ATL45" s="987"/>
      <c r="ATM45" s="987"/>
      <c r="ATN45" s="987"/>
      <c r="ATO45" s="987"/>
      <c r="ATP45" s="987"/>
      <c r="ATQ45" s="987"/>
      <c r="ATR45" s="987"/>
      <c r="ATS45" s="987"/>
      <c r="ATT45" s="987"/>
      <c r="ATU45" s="987"/>
      <c r="ATV45" s="987"/>
      <c r="ATW45" s="987"/>
      <c r="ATX45" s="987"/>
      <c r="ATY45" s="987"/>
      <c r="ATZ45" s="987"/>
      <c r="AUA45" s="987"/>
      <c r="AUB45" s="987"/>
      <c r="AUC45" s="987"/>
      <c r="AUD45" s="987"/>
      <c r="AUE45" s="987"/>
      <c r="AUF45" s="987"/>
      <c r="AUG45" s="987"/>
      <c r="AUH45" s="987"/>
      <c r="AUI45" s="987"/>
      <c r="AUJ45" s="987"/>
      <c r="AUK45" s="987"/>
      <c r="AUL45" s="987"/>
      <c r="AUM45" s="987"/>
      <c r="AUN45" s="987"/>
      <c r="AUO45" s="987"/>
      <c r="AUP45" s="987"/>
      <c r="AUQ45" s="987"/>
      <c r="AUR45" s="987"/>
      <c r="AUS45" s="987"/>
      <c r="AUT45" s="987"/>
      <c r="AUU45" s="987"/>
      <c r="AUV45" s="987"/>
      <c r="AUW45" s="987"/>
      <c r="AUX45" s="987"/>
      <c r="AUY45" s="987"/>
      <c r="AUZ45" s="987"/>
      <c r="AVA45" s="987"/>
      <c r="AVB45" s="987"/>
      <c r="AVC45" s="987"/>
      <c r="AVD45" s="987"/>
      <c r="AVE45" s="987"/>
      <c r="AVF45" s="987"/>
      <c r="AVG45" s="987"/>
      <c r="AVH45" s="987"/>
      <c r="AVI45" s="987"/>
      <c r="AVJ45" s="987"/>
      <c r="AVK45" s="987"/>
      <c r="AVL45" s="987"/>
      <c r="AVM45" s="987"/>
      <c r="AVN45" s="987"/>
      <c r="AVO45" s="987"/>
      <c r="AVP45" s="987"/>
      <c r="AVQ45" s="987"/>
      <c r="AVR45" s="987"/>
      <c r="AVS45" s="987"/>
      <c r="AVT45" s="987"/>
      <c r="AVU45" s="987"/>
      <c r="AVV45" s="987"/>
      <c r="AVW45" s="987"/>
      <c r="AVX45" s="987"/>
      <c r="AVY45" s="987"/>
      <c r="AVZ45" s="987"/>
      <c r="AWA45" s="987"/>
      <c r="AWB45" s="987"/>
      <c r="AWC45" s="987"/>
      <c r="AWD45" s="987"/>
      <c r="AWE45" s="987"/>
      <c r="AWF45" s="987"/>
      <c r="AWG45" s="987"/>
      <c r="AWH45" s="987"/>
      <c r="AWI45" s="987"/>
      <c r="AWJ45" s="987"/>
      <c r="AWK45" s="987"/>
      <c r="AWL45" s="987"/>
      <c r="AWM45" s="987"/>
      <c r="AWN45" s="987"/>
      <c r="AWO45" s="987"/>
      <c r="AWP45" s="987"/>
      <c r="AWQ45" s="987"/>
      <c r="AWR45" s="987"/>
      <c r="AWS45" s="987"/>
      <c r="AWT45" s="987"/>
      <c r="AWU45" s="987"/>
      <c r="AWV45" s="987"/>
      <c r="AWW45" s="987"/>
      <c r="AWX45" s="987"/>
      <c r="AWY45" s="987"/>
      <c r="AWZ45" s="987"/>
      <c r="AXA45" s="987"/>
      <c r="AXB45" s="987"/>
      <c r="AXC45" s="987"/>
      <c r="AXD45" s="987"/>
      <c r="AXE45" s="987"/>
      <c r="AXF45" s="987"/>
      <c r="AXG45" s="987"/>
      <c r="AXH45" s="987"/>
      <c r="AXI45" s="987"/>
      <c r="AXJ45" s="987"/>
      <c r="AXK45" s="987"/>
      <c r="AXL45" s="987"/>
      <c r="AXM45" s="987"/>
      <c r="AXN45" s="987"/>
      <c r="AXO45" s="987"/>
      <c r="AXP45" s="987"/>
      <c r="AXQ45" s="987"/>
      <c r="AXR45" s="987"/>
      <c r="AXS45" s="987"/>
      <c r="AXT45" s="987"/>
      <c r="AXU45" s="987"/>
      <c r="AXV45" s="987"/>
      <c r="AXW45" s="987"/>
      <c r="AXX45" s="987"/>
      <c r="AXY45" s="987"/>
      <c r="AXZ45" s="987"/>
      <c r="AYA45" s="987"/>
      <c r="AYB45" s="987"/>
      <c r="AYC45" s="987"/>
      <c r="AYD45" s="987"/>
      <c r="AYE45" s="987"/>
      <c r="AYF45" s="987"/>
      <c r="AYG45" s="987"/>
      <c r="AYH45" s="987"/>
      <c r="AYI45" s="987"/>
      <c r="AYJ45" s="987"/>
      <c r="AYK45" s="987"/>
      <c r="AYL45" s="987"/>
      <c r="AYM45" s="987"/>
      <c r="AYN45" s="987"/>
      <c r="AYO45" s="987"/>
      <c r="AYP45" s="987"/>
      <c r="AYQ45" s="987"/>
      <c r="AYR45" s="987"/>
      <c r="AYS45" s="987"/>
      <c r="AYT45" s="987"/>
      <c r="AYU45" s="987"/>
      <c r="AYV45" s="987"/>
      <c r="AYW45" s="987"/>
      <c r="AYX45" s="987"/>
      <c r="AYY45" s="987"/>
      <c r="AYZ45" s="987"/>
      <c r="AZA45" s="987"/>
      <c r="AZB45" s="987"/>
      <c r="AZC45" s="987"/>
      <c r="AZD45" s="987"/>
      <c r="AZE45" s="987"/>
      <c r="AZF45" s="987"/>
      <c r="AZG45" s="987"/>
      <c r="AZH45" s="987"/>
      <c r="AZI45" s="987"/>
      <c r="AZJ45" s="987"/>
      <c r="AZK45" s="987"/>
      <c r="AZL45" s="987"/>
      <c r="AZM45" s="987"/>
      <c r="AZN45" s="987"/>
      <c r="AZO45" s="987"/>
      <c r="AZP45" s="987"/>
      <c r="AZQ45" s="987"/>
      <c r="AZR45" s="987"/>
      <c r="AZS45" s="987"/>
      <c r="AZT45" s="987"/>
      <c r="AZU45" s="987"/>
      <c r="AZV45" s="987"/>
      <c r="AZW45" s="987"/>
      <c r="AZX45" s="987"/>
      <c r="AZY45" s="987"/>
      <c r="AZZ45" s="987"/>
      <c r="BAA45" s="987"/>
      <c r="BAB45" s="987"/>
      <c r="BAC45" s="987"/>
      <c r="BAD45" s="987"/>
      <c r="BAE45" s="987"/>
      <c r="BAF45" s="987"/>
      <c r="BAG45" s="987"/>
      <c r="BAH45" s="987"/>
      <c r="BAI45" s="987"/>
      <c r="BAJ45" s="987"/>
      <c r="BAK45" s="987"/>
      <c r="BAL45" s="987"/>
      <c r="BAM45" s="987"/>
      <c r="BAN45" s="987"/>
      <c r="BAO45" s="987"/>
      <c r="BAP45" s="987"/>
      <c r="BAQ45" s="987"/>
      <c r="BAR45" s="987"/>
      <c r="BAS45" s="987"/>
      <c r="BAT45" s="987"/>
      <c r="BAU45" s="987"/>
      <c r="BAV45" s="987"/>
      <c r="BAW45" s="987"/>
      <c r="BAX45" s="987"/>
      <c r="BAY45" s="987"/>
      <c r="BAZ45" s="987"/>
      <c r="BBA45" s="987"/>
      <c r="BBB45" s="987"/>
      <c r="BBC45" s="987"/>
      <c r="BBD45" s="987"/>
      <c r="BBE45" s="987"/>
      <c r="BBF45" s="987"/>
      <c r="BBG45" s="987"/>
      <c r="BBH45" s="987"/>
      <c r="BBI45" s="987"/>
      <c r="BBJ45" s="987"/>
      <c r="BBK45" s="987"/>
      <c r="BBL45" s="987"/>
      <c r="BBM45" s="987"/>
      <c r="BBN45" s="987"/>
      <c r="BBO45" s="987"/>
      <c r="BBP45" s="987"/>
      <c r="BBQ45" s="987"/>
      <c r="BBR45" s="987"/>
      <c r="BBS45" s="987"/>
      <c r="BBT45" s="987"/>
      <c r="BBU45" s="987"/>
      <c r="BBV45" s="987"/>
      <c r="BBW45" s="987"/>
      <c r="BBX45" s="987"/>
      <c r="BBY45" s="987"/>
      <c r="BBZ45" s="987"/>
      <c r="BCA45" s="987"/>
      <c r="BCB45" s="987"/>
      <c r="BCC45" s="987"/>
      <c r="BCD45" s="987"/>
      <c r="BCE45" s="987"/>
      <c r="BCF45" s="987"/>
      <c r="BCG45" s="987"/>
      <c r="BCH45" s="987"/>
      <c r="BCI45" s="987"/>
      <c r="BCJ45" s="987"/>
      <c r="BCK45" s="987"/>
      <c r="BCL45" s="987"/>
      <c r="BCM45" s="987"/>
      <c r="BCN45" s="987"/>
      <c r="BCO45" s="987"/>
      <c r="BCP45" s="987"/>
      <c r="BCQ45" s="987"/>
      <c r="BCR45" s="987"/>
      <c r="BCS45" s="987"/>
      <c r="BCT45" s="987"/>
      <c r="BCU45" s="987"/>
      <c r="BCV45" s="987"/>
      <c r="BCW45" s="987"/>
      <c r="BCX45" s="987"/>
      <c r="BCY45" s="987"/>
      <c r="BCZ45" s="987"/>
      <c r="BDA45" s="987"/>
      <c r="BDB45" s="987"/>
      <c r="BDC45" s="987"/>
      <c r="BDD45" s="987"/>
      <c r="BDE45" s="987"/>
      <c r="BDF45" s="987"/>
      <c r="BDG45" s="987"/>
      <c r="BDH45" s="987"/>
      <c r="BDI45" s="987"/>
      <c r="BDJ45" s="987"/>
      <c r="BDK45" s="987"/>
      <c r="BDL45" s="987"/>
      <c r="BDM45" s="987"/>
      <c r="BDN45" s="987"/>
      <c r="BDO45" s="987"/>
      <c r="BDP45" s="987"/>
      <c r="BDQ45" s="987"/>
      <c r="BDR45" s="987"/>
      <c r="BDS45" s="987"/>
      <c r="BDT45" s="987"/>
      <c r="BDU45" s="987"/>
      <c r="BDV45" s="987"/>
      <c r="BDW45" s="987"/>
      <c r="BDX45" s="987"/>
      <c r="BDY45" s="987"/>
      <c r="BDZ45" s="987"/>
      <c r="BEA45" s="987"/>
      <c r="BEB45" s="987"/>
      <c r="BEC45" s="987"/>
      <c r="BED45" s="987"/>
      <c r="BEE45" s="987"/>
      <c r="BEF45" s="987"/>
      <c r="BEG45" s="987"/>
      <c r="BEH45" s="987"/>
      <c r="BEI45" s="987"/>
      <c r="BEJ45" s="987"/>
      <c r="BEK45" s="987"/>
      <c r="BEL45" s="987"/>
      <c r="BEM45" s="987"/>
      <c r="BEN45" s="987"/>
      <c r="BEO45" s="987"/>
      <c r="BEP45" s="987"/>
      <c r="BEQ45" s="987"/>
      <c r="BER45" s="987"/>
      <c r="BES45" s="987"/>
      <c r="BET45" s="987"/>
      <c r="BEU45" s="987"/>
      <c r="BEV45" s="987"/>
      <c r="BEW45" s="987"/>
      <c r="BEX45" s="987"/>
      <c r="BEY45" s="987"/>
      <c r="BEZ45" s="987"/>
      <c r="BFA45" s="987"/>
      <c r="BFB45" s="987"/>
      <c r="BFC45" s="987"/>
      <c r="BFD45" s="987"/>
      <c r="BFE45" s="987"/>
      <c r="BFF45" s="987"/>
      <c r="BFG45" s="987"/>
      <c r="BFH45" s="987"/>
      <c r="BFI45" s="987"/>
      <c r="BFJ45" s="987"/>
      <c r="BFK45" s="987"/>
      <c r="BFL45" s="987"/>
      <c r="BFM45" s="987"/>
      <c r="BFN45" s="987"/>
      <c r="BFO45" s="987"/>
      <c r="BFP45" s="987"/>
      <c r="BFQ45" s="987"/>
      <c r="BFR45" s="987"/>
      <c r="BFS45" s="987"/>
      <c r="BFT45" s="987"/>
      <c r="BFU45" s="987"/>
      <c r="BFV45" s="987"/>
      <c r="BFW45" s="987"/>
      <c r="BFX45" s="987"/>
      <c r="BFY45" s="987"/>
      <c r="BFZ45" s="987"/>
      <c r="BGA45" s="987"/>
      <c r="BGB45" s="987"/>
      <c r="BGC45" s="987"/>
      <c r="BGD45" s="987"/>
      <c r="BGE45" s="987"/>
      <c r="BGF45" s="987"/>
      <c r="BGG45" s="987"/>
      <c r="BGH45" s="987"/>
      <c r="BGI45" s="987"/>
      <c r="BGJ45" s="987"/>
      <c r="BGK45" s="987"/>
      <c r="BGL45" s="987"/>
      <c r="BGM45" s="987"/>
      <c r="BGN45" s="987"/>
      <c r="BGO45" s="987"/>
      <c r="BGP45" s="987"/>
      <c r="BGQ45" s="987"/>
      <c r="BGR45" s="987"/>
      <c r="BGS45" s="987"/>
      <c r="BGT45" s="987"/>
      <c r="BGU45" s="987"/>
      <c r="BGV45" s="987"/>
      <c r="BGW45" s="987"/>
      <c r="BGX45" s="987"/>
      <c r="BGY45" s="987"/>
      <c r="BGZ45" s="987"/>
      <c r="BHA45" s="987"/>
      <c r="BHB45" s="987"/>
      <c r="BHC45" s="987"/>
      <c r="BHD45" s="987"/>
      <c r="BHE45" s="987"/>
      <c r="BHF45" s="987"/>
      <c r="BHG45" s="987"/>
      <c r="BHH45" s="987"/>
      <c r="BHI45" s="987"/>
      <c r="BHJ45" s="987"/>
      <c r="BHK45" s="987"/>
      <c r="BHL45" s="987"/>
      <c r="BHM45" s="987"/>
      <c r="BHN45" s="987"/>
      <c r="BHO45" s="987"/>
      <c r="BHP45" s="987"/>
      <c r="BHQ45" s="987"/>
      <c r="BHR45" s="987"/>
      <c r="BHS45" s="987"/>
      <c r="BHT45" s="987"/>
      <c r="BHU45" s="987"/>
      <c r="BHV45" s="987"/>
      <c r="BHW45" s="987"/>
      <c r="BHX45" s="987"/>
      <c r="BHY45" s="987"/>
      <c r="BHZ45" s="987"/>
      <c r="BIA45" s="987"/>
      <c r="BIB45" s="987"/>
      <c r="BIC45" s="987"/>
      <c r="BID45" s="987"/>
      <c r="BIE45" s="987"/>
      <c r="BIF45" s="987"/>
      <c r="BIG45" s="987"/>
      <c r="BIH45" s="987"/>
      <c r="BII45" s="987"/>
      <c r="BIJ45" s="987"/>
      <c r="BIK45" s="987"/>
      <c r="BIL45" s="987"/>
      <c r="BIM45" s="987"/>
      <c r="BIN45" s="987"/>
      <c r="BIO45" s="987"/>
      <c r="BIP45" s="987"/>
      <c r="BIQ45" s="987"/>
      <c r="BIR45" s="987"/>
      <c r="BIS45" s="987"/>
      <c r="BIT45" s="987"/>
      <c r="BIU45" s="987"/>
      <c r="BIV45" s="987"/>
      <c r="BIW45" s="987"/>
      <c r="BIX45" s="987"/>
      <c r="BIY45" s="987"/>
      <c r="BIZ45" s="987"/>
      <c r="BJA45" s="987"/>
      <c r="BJB45" s="987"/>
      <c r="BJC45" s="987"/>
      <c r="BJD45" s="987"/>
      <c r="BJE45" s="987"/>
      <c r="BJF45" s="987"/>
      <c r="BJG45" s="987"/>
      <c r="BJH45" s="987"/>
      <c r="BJI45" s="987"/>
      <c r="BJJ45" s="987"/>
      <c r="BJK45" s="987"/>
      <c r="BJL45" s="987"/>
      <c r="BJM45" s="987"/>
      <c r="BJN45" s="987"/>
      <c r="BJO45" s="987"/>
      <c r="BJP45" s="987"/>
      <c r="BJQ45" s="987"/>
      <c r="BJR45" s="987"/>
      <c r="BJS45" s="987"/>
      <c r="BJT45" s="987"/>
      <c r="BJU45" s="987"/>
      <c r="BJV45" s="987"/>
      <c r="BJW45" s="987"/>
      <c r="BJX45" s="987"/>
      <c r="BJY45" s="987"/>
      <c r="BJZ45" s="987"/>
      <c r="BKA45" s="987"/>
      <c r="BKB45" s="987"/>
      <c r="BKC45" s="987"/>
      <c r="BKD45" s="987"/>
      <c r="BKE45" s="987"/>
      <c r="BKF45" s="987"/>
      <c r="BKG45" s="987"/>
      <c r="BKH45" s="987"/>
      <c r="BKI45" s="987"/>
      <c r="BKJ45" s="987"/>
      <c r="BKK45" s="987"/>
      <c r="BKL45" s="987"/>
      <c r="BKM45" s="987"/>
      <c r="BKN45" s="987"/>
      <c r="BKO45" s="987"/>
      <c r="BKP45" s="987"/>
      <c r="BKQ45" s="987"/>
      <c r="BKR45" s="987"/>
      <c r="BKS45" s="987"/>
      <c r="BKT45" s="987"/>
      <c r="BKU45" s="987"/>
      <c r="BKV45" s="987"/>
      <c r="BKW45" s="987"/>
      <c r="BKX45" s="987"/>
      <c r="BKY45" s="987"/>
      <c r="BKZ45" s="987"/>
      <c r="BLA45" s="987"/>
      <c r="BLB45" s="987"/>
      <c r="BLC45" s="987"/>
      <c r="BLD45" s="987"/>
      <c r="BLE45" s="987"/>
      <c r="BLF45" s="987"/>
      <c r="BLG45" s="987"/>
      <c r="BLH45" s="987"/>
      <c r="BLI45" s="987"/>
      <c r="BLJ45" s="987"/>
      <c r="BLK45" s="987"/>
      <c r="BLL45" s="987"/>
      <c r="BLM45" s="987"/>
      <c r="BLN45" s="987"/>
      <c r="BLO45" s="987"/>
      <c r="BLP45" s="987"/>
      <c r="BLQ45" s="987"/>
      <c r="BLR45" s="987"/>
      <c r="BLS45" s="987"/>
      <c r="BLT45" s="987"/>
      <c r="BLU45" s="987"/>
      <c r="BLV45" s="987"/>
      <c r="BLW45" s="987"/>
      <c r="BLX45" s="987"/>
      <c r="BLY45" s="987"/>
      <c r="BLZ45" s="987"/>
      <c r="BMA45" s="987"/>
      <c r="BMB45" s="987"/>
      <c r="BMC45" s="987"/>
      <c r="BMD45" s="987"/>
      <c r="BME45" s="987"/>
      <c r="BMF45" s="987"/>
      <c r="BMG45" s="987"/>
      <c r="BMH45" s="987"/>
      <c r="BMI45" s="987"/>
      <c r="BMJ45" s="987"/>
      <c r="BMK45" s="987"/>
      <c r="BML45" s="987"/>
      <c r="BMM45" s="987"/>
      <c r="BMN45" s="987"/>
      <c r="BMO45" s="987"/>
      <c r="BMP45" s="987"/>
      <c r="BMQ45" s="987"/>
      <c r="BMR45" s="987"/>
      <c r="BMS45" s="987"/>
      <c r="BMT45" s="987"/>
      <c r="BMU45" s="987"/>
      <c r="BMV45" s="987"/>
      <c r="BMW45" s="987"/>
      <c r="BMX45" s="987"/>
      <c r="BMY45" s="987"/>
      <c r="BMZ45" s="987"/>
      <c r="BNA45" s="987"/>
      <c r="BNB45" s="987"/>
      <c r="BNC45" s="987"/>
      <c r="BND45" s="987"/>
      <c r="BNE45" s="987"/>
      <c r="BNF45" s="987"/>
      <c r="BNG45" s="987"/>
      <c r="BNH45" s="987"/>
      <c r="BNI45" s="987"/>
      <c r="BNJ45" s="987"/>
      <c r="BNK45" s="987"/>
      <c r="BNL45" s="987"/>
      <c r="BNM45" s="987"/>
      <c r="BNN45" s="987"/>
      <c r="BNO45" s="987"/>
      <c r="BNP45" s="987"/>
      <c r="BNQ45" s="987"/>
      <c r="BNR45" s="987"/>
      <c r="BNS45" s="987"/>
      <c r="BNT45" s="987"/>
      <c r="BNU45" s="987"/>
      <c r="BNV45" s="987"/>
      <c r="BNW45" s="987"/>
      <c r="BNX45" s="987"/>
      <c r="BNY45" s="987"/>
      <c r="BNZ45" s="987"/>
      <c r="BOA45" s="987"/>
      <c r="BOB45" s="987"/>
      <c r="BOC45" s="987"/>
      <c r="BOD45" s="987"/>
      <c r="BOE45" s="987"/>
      <c r="BOF45" s="987"/>
      <c r="BOG45" s="987"/>
      <c r="BOH45" s="987"/>
      <c r="BOI45" s="987"/>
      <c r="BOJ45" s="987"/>
      <c r="BOK45" s="987"/>
      <c r="BOL45" s="987"/>
      <c r="BOM45" s="987"/>
      <c r="BON45" s="987"/>
      <c r="BOO45" s="987"/>
      <c r="BOP45" s="987"/>
      <c r="BOQ45" s="987"/>
      <c r="BOR45" s="987"/>
      <c r="BOS45" s="987"/>
      <c r="BOT45" s="987"/>
      <c r="BOU45" s="987"/>
      <c r="BOV45" s="987"/>
      <c r="BOW45" s="987"/>
      <c r="BOX45" s="987"/>
      <c r="BOY45" s="987"/>
      <c r="BOZ45" s="987"/>
      <c r="BPA45" s="987"/>
      <c r="BPB45" s="987"/>
      <c r="BPC45" s="987"/>
      <c r="BPD45" s="987"/>
      <c r="BPE45" s="987"/>
      <c r="BPF45" s="987"/>
      <c r="BPG45" s="987"/>
      <c r="BPH45" s="987"/>
      <c r="BPI45" s="987"/>
      <c r="BPJ45" s="987"/>
      <c r="BPK45" s="987"/>
      <c r="BPL45" s="987"/>
      <c r="BPM45" s="987"/>
      <c r="BPN45" s="987"/>
      <c r="BPO45" s="987"/>
      <c r="BPP45" s="987"/>
      <c r="BPQ45" s="987"/>
      <c r="BPR45" s="987"/>
      <c r="BPS45" s="987"/>
      <c r="BPT45" s="987"/>
      <c r="BPU45" s="987"/>
      <c r="BPV45" s="987"/>
      <c r="BPW45" s="987"/>
      <c r="BPX45" s="987"/>
      <c r="BPY45" s="987"/>
      <c r="BPZ45" s="987"/>
      <c r="BQA45" s="987"/>
      <c r="BQB45" s="987"/>
      <c r="BQC45" s="987"/>
      <c r="BQD45" s="987"/>
      <c r="BQE45" s="987"/>
      <c r="BQF45" s="987"/>
      <c r="BQG45" s="987"/>
      <c r="BQH45" s="987"/>
      <c r="BQI45" s="987"/>
      <c r="BQJ45" s="987"/>
      <c r="BQK45" s="987"/>
      <c r="BQL45" s="987"/>
      <c r="BQM45" s="987"/>
      <c r="BQN45" s="987"/>
      <c r="BQO45" s="987"/>
      <c r="BQP45" s="987"/>
      <c r="BQQ45" s="987"/>
      <c r="BQR45" s="987"/>
      <c r="BQS45" s="987"/>
      <c r="BQT45" s="987"/>
      <c r="BQU45" s="987"/>
      <c r="BQV45" s="987"/>
      <c r="BQW45" s="987"/>
      <c r="BQX45" s="987"/>
      <c r="BQY45" s="987"/>
      <c r="BQZ45" s="987"/>
      <c r="BRA45" s="987"/>
      <c r="BRB45" s="987"/>
      <c r="BRC45" s="987"/>
      <c r="BRD45" s="987"/>
      <c r="BRE45" s="987"/>
      <c r="BRF45" s="987"/>
      <c r="BRG45" s="987"/>
      <c r="BRH45" s="987"/>
      <c r="BRI45" s="987"/>
      <c r="BRJ45" s="987"/>
      <c r="BRK45" s="987"/>
      <c r="BRL45" s="987"/>
      <c r="BRM45" s="987"/>
      <c r="BRN45" s="987"/>
      <c r="BRO45" s="987"/>
      <c r="BRP45" s="987"/>
      <c r="BRQ45" s="987"/>
      <c r="BRR45" s="987"/>
      <c r="BRS45" s="987"/>
      <c r="BRT45" s="987"/>
      <c r="BRU45" s="987"/>
      <c r="BRV45" s="987"/>
      <c r="BRW45" s="987"/>
      <c r="BRX45" s="987"/>
      <c r="BRY45" s="987"/>
      <c r="BRZ45" s="987"/>
      <c r="BSA45" s="987"/>
      <c r="BSB45" s="987"/>
      <c r="BSC45" s="987"/>
      <c r="BSD45" s="987"/>
      <c r="BSE45" s="987"/>
      <c r="BSF45" s="987"/>
      <c r="BSG45" s="987"/>
      <c r="BSH45" s="987"/>
      <c r="BSI45" s="987"/>
      <c r="BSJ45" s="987"/>
      <c r="BSK45" s="987"/>
      <c r="BSL45" s="987"/>
      <c r="BSM45" s="987"/>
      <c r="BSN45" s="987"/>
      <c r="BSO45" s="987"/>
      <c r="BSP45" s="987"/>
      <c r="BSQ45" s="987"/>
      <c r="BSR45" s="987"/>
      <c r="BSS45" s="987"/>
      <c r="BST45" s="987"/>
      <c r="BSU45" s="987"/>
      <c r="BSV45" s="987"/>
      <c r="BSW45" s="987"/>
      <c r="BSX45" s="987"/>
      <c r="BSY45" s="987"/>
      <c r="BSZ45" s="987"/>
      <c r="BTA45" s="987"/>
      <c r="BTB45" s="987"/>
      <c r="BTC45" s="987"/>
      <c r="BTD45" s="987"/>
      <c r="BTE45" s="987"/>
      <c r="BTF45" s="987"/>
      <c r="BTG45" s="987"/>
      <c r="BTH45" s="987"/>
      <c r="BTI45" s="987"/>
      <c r="BTJ45" s="987"/>
      <c r="BTK45" s="987"/>
      <c r="BTL45" s="987"/>
      <c r="BTM45" s="987"/>
      <c r="BTN45" s="987"/>
      <c r="BTO45" s="987"/>
      <c r="BTP45" s="987"/>
      <c r="BTQ45" s="987"/>
      <c r="BTR45" s="987"/>
      <c r="BTS45" s="987"/>
      <c r="BTT45" s="987"/>
      <c r="BTU45" s="987"/>
      <c r="BTV45" s="987"/>
      <c r="BTW45" s="987"/>
      <c r="BTX45" s="987"/>
      <c r="BTY45" s="987"/>
      <c r="BTZ45" s="987"/>
      <c r="BUA45" s="987"/>
      <c r="BUB45" s="987"/>
      <c r="BUC45" s="987"/>
      <c r="BUD45" s="987"/>
      <c r="BUE45" s="987"/>
      <c r="BUF45" s="987"/>
      <c r="BUG45" s="987"/>
      <c r="BUH45" s="987"/>
      <c r="BUI45" s="987"/>
      <c r="BUJ45" s="987"/>
      <c r="BUK45" s="987"/>
      <c r="BUL45" s="987"/>
      <c r="BUM45" s="987"/>
      <c r="BUN45" s="987"/>
      <c r="BUO45" s="987"/>
      <c r="BUP45" s="987"/>
      <c r="BUQ45" s="987"/>
      <c r="BUR45" s="987"/>
      <c r="BUS45" s="987"/>
      <c r="BUT45" s="987"/>
      <c r="BUU45" s="987"/>
      <c r="BUV45" s="987"/>
      <c r="BUW45" s="987"/>
      <c r="BUX45" s="987"/>
      <c r="BUY45" s="987"/>
      <c r="BUZ45" s="987"/>
      <c r="BVA45" s="987"/>
      <c r="BVB45" s="987"/>
      <c r="BVC45" s="987"/>
      <c r="BVD45" s="987"/>
      <c r="BVE45" s="987"/>
      <c r="BVF45" s="987"/>
      <c r="BVG45" s="987"/>
      <c r="BVH45" s="987"/>
      <c r="BVI45" s="987"/>
      <c r="BVJ45" s="987"/>
      <c r="BVK45" s="987"/>
      <c r="BVL45" s="987"/>
      <c r="BVM45" s="987"/>
      <c r="BVN45" s="987"/>
      <c r="BVO45" s="987"/>
      <c r="BVP45" s="987"/>
      <c r="BVQ45" s="987"/>
      <c r="BVR45" s="987"/>
      <c r="BVS45" s="987"/>
      <c r="BVT45" s="987"/>
      <c r="BVU45" s="987"/>
      <c r="BVV45" s="987"/>
      <c r="BVW45" s="987"/>
      <c r="BVX45" s="987"/>
      <c r="BVY45" s="987"/>
      <c r="BVZ45" s="987"/>
      <c r="BWA45" s="987"/>
      <c r="BWB45" s="987"/>
      <c r="BWC45" s="987"/>
      <c r="BWD45" s="987"/>
      <c r="BWE45" s="987"/>
      <c r="BWF45" s="987"/>
      <c r="BWG45" s="987"/>
      <c r="BWH45" s="987"/>
      <c r="BWI45" s="987"/>
      <c r="BWJ45" s="987"/>
      <c r="BWK45" s="987"/>
      <c r="BWL45" s="987"/>
      <c r="BWM45" s="987"/>
      <c r="BWN45" s="987"/>
      <c r="BWO45" s="987"/>
      <c r="BWP45" s="987"/>
      <c r="BWQ45" s="987"/>
      <c r="BWR45" s="987"/>
      <c r="BWS45" s="987"/>
      <c r="BWT45" s="987"/>
      <c r="BWU45" s="987"/>
      <c r="BWV45" s="987"/>
      <c r="BWW45" s="987"/>
      <c r="BWX45" s="987"/>
      <c r="BWY45" s="987"/>
      <c r="BWZ45" s="987"/>
      <c r="BXA45" s="987"/>
      <c r="BXB45" s="987"/>
      <c r="BXC45" s="987"/>
      <c r="BXD45" s="987"/>
      <c r="BXE45" s="987"/>
      <c r="BXF45" s="987"/>
      <c r="BXG45" s="987"/>
      <c r="BXH45" s="987"/>
      <c r="BXI45" s="987"/>
      <c r="BXJ45" s="987"/>
      <c r="BXK45" s="987"/>
      <c r="BXL45" s="987"/>
      <c r="BXM45" s="987"/>
      <c r="BXN45" s="987"/>
      <c r="BXO45" s="987"/>
      <c r="BXP45" s="987"/>
      <c r="BXQ45" s="987"/>
      <c r="BXR45" s="987"/>
      <c r="BXS45" s="987"/>
      <c r="BXT45" s="987"/>
      <c r="BXU45" s="987"/>
      <c r="BXV45" s="987"/>
      <c r="BXW45" s="987"/>
      <c r="BXX45" s="987"/>
      <c r="BXY45" s="987"/>
      <c r="BXZ45" s="987"/>
      <c r="BYA45" s="987"/>
      <c r="BYB45" s="987"/>
      <c r="BYC45" s="987"/>
      <c r="BYD45" s="987"/>
      <c r="BYE45" s="987"/>
      <c r="BYF45" s="987"/>
      <c r="BYG45" s="987"/>
      <c r="BYH45" s="987"/>
      <c r="BYI45" s="987"/>
      <c r="BYJ45" s="987"/>
      <c r="BYK45" s="987"/>
      <c r="BYL45" s="987"/>
      <c r="BYM45" s="987"/>
      <c r="BYN45" s="987"/>
      <c r="BYO45" s="987"/>
      <c r="BYP45" s="987"/>
      <c r="BYQ45" s="987"/>
      <c r="BYR45" s="987"/>
      <c r="BYS45" s="987"/>
      <c r="BYT45" s="987"/>
      <c r="BYU45" s="987"/>
      <c r="BYV45" s="987"/>
      <c r="BYW45" s="987"/>
      <c r="BYX45" s="987"/>
      <c r="BYY45" s="987"/>
      <c r="BYZ45" s="987"/>
      <c r="BZA45" s="987"/>
      <c r="BZB45" s="987"/>
      <c r="BZC45" s="987"/>
      <c r="BZD45" s="987"/>
      <c r="BZE45" s="987"/>
      <c r="BZF45" s="987"/>
      <c r="BZG45" s="987"/>
      <c r="BZH45" s="987"/>
      <c r="BZI45" s="987"/>
      <c r="BZJ45" s="987"/>
      <c r="BZK45" s="987"/>
      <c r="BZL45" s="987"/>
      <c r="BZM45" s="987"/>
      <c r="BZN45" s="987"/>
      <c r="BZO45" s="987"/>
      <c r="BZP45" s="987"/>
      <c r="BZQ45" s="987"/>
      <c r="BZR45" s="987"/>
      <c r="BZS45" s="987"/>
      <c r="BZT45" s="987"/>
      <c r="BZU45" s="987"/>
      <c r="BZV45" s="987"/>
      <c r="BZW45" s="987"/>
      <c r="BZX45" s="987"/>
      <c r="BZY45" s="987"/>
      <c r="BZZ45" s="987"/>
      <c r="CAA45" s="987"/>
      <c r="CAB45" s="987"/>
      <c r="CAC45" s="987"/>
      <c r="CAD45" s="987"/>
      <c r="CAE45" s="987"/>
      <c r="CAF45" s="987"/>
      <c r="CAG45" s="987"/>
      <c r="CAH45" s="987"/>
      <c r="CAI45" s="987"/>
      <c r="CAJ45" s="987"/>
      <c r="CAK45" s="987"/>
      <c r="CAL45" s="987"/>
      <c r="CAM45" s="987"/>
      <c r="CAN45" s="987"/>
      <c r="CAO45" s="987"/>
      <c r="CAP45" s="987"/>
      <c r="CAQ45" s="987"/>
      <c r="CAR45" s="987"/>
      <c r="CAS45" s="987"/>
      <c r="CAT45" s="987"/>
      <c r="CAU45" s="987"/>
      <c r="CAV45" s="987"/>
      <c r="CAW45" s="987"/>
      <c r="CAX45" s="987"/>
      <c r="CAY45" s="987"/>
      <c r="CAZ45" s="987"/>
      <c r="CBA45" s="987"/>
      <c r="CBB45" s="987"/>
      <c r="CBC45" s="987"/>
      <c r="CBD45" s="987"/>
      <c r="CBE45" s="987"/>
      <c r="CBF45" s="987"/>
      <c r="CBG45" s="987"/>
      <c r="CBH45" s="987"/>
      <c r="CBI45" s="987"/>
      <c r="CBJ45" s="987"/>
      <c r="CBK45" s="987"/>
      <c r="CBL45" s="987"/>
      <c r="CBM45" s="987"/>
      <c r="CBN45" s="987"/>
      <c r="CBO45" s="987"/>
      <c r="CBP45" s="987"/>
      <c r="CBQ45" s="987"/>
      <c r="CBR45" s="987"/>
      <c r="CBS45" s="987"/>
      <c r="CBT45" s="987"/>
      <c r="CBU45" s="987"/>
      <c r="CBV45" s="987"/>
      <c r="CBW45" s="987"/>
      <c r="CBX45" s="987"/>
      <c r="CBY45" s="987"/>
      <c r="CBZ45" s="987"/>
      <c r="CCA45" s="987"/>
      <c r="CCB45" s="987"/>
      <c r="CCC45" s="987"/>
      <c r="CCD45" s="987"/>
      <c r="CCE45" s="987"/>
      <c r="CCF45" s="987"/>
      <c r="CCG45" s="987"/>
      <c r="CCH45" s="987"/>
      <c r="CCI45" s="987"/>
      <c r="CCJ45" s="987"/>
      <c r="CCK45" s="987"/>
      <c r="CCL45" s="987"/>
      <c r="CCM45" s="987"/>
      <c r="CCN45" s="987"/>
      <c r="CCO45" s="987"/>
      <c r="CCP45" s="987"/>
      <c r="CCQ45" s="987"/>
      <c r="CCR45" s="987"/>
      <c r="CCS45" s="987"/>
      <c r="CCT45" s="987"/>
      <c r="CCU45" s="987"/>
      <c r="CCV45" s="987"/>
      <c r="CCW45" s="987"/>
      <c r="CCX45" s="987"/>
      <c r="CCY45" s="987"/>
      <c r="CCZ45" s="987"/>
      <c r="CDA45" s="987"/>
      <c r="CDB45" s="987"/>
      <c r="CDC45" s="987"/>
      <c r="CDD45" s="987"/>
      <c r="CDE45" s="987"/>
      <c r="CDF45" s="987"/>
      <c r="CDG45" s="987"/>
      <c r="CDH45" s="987"/>
      <c r="CDI45" s="987"/>
      <c r="CDJ45" s="987"/>
      <c r="CDK45" s="987"/>
      <c r="CDL45" s="987"/>
      <c r="CDM45" s="987"/>
      <c r="CDN45" s="987"/>
      <c r="CDO45" s="987"/>
      <c r="CDP45" s="987"/>
      <c r="CDQ45" s="987"/>
      <c r="CDR45" s="987"/>
      <c r="CDS45" s="987"/>
      <c r="CDT45" s="987"/>
      <c r="CDU45" s="987"/>
      <c r="CDV45" s="987"/>
      <c r="CDW45" s="987"/>
      <c r="CDX45" s="987"/>
      <c r="CDY45" s="987"/>
      <c r="CDZ45" s="987"/>
      <c r="CEA45" s="987"/>
      <c r="CEB45" s="987"/>
      <c r="CEC45" s="987"/>
      <c r="CED45" s="987"/>
      <c r="CEE45" s="987"/>
      <c r="CEF45" s="987"/>
      <c r="CEG45" s="987"/>
      <c r="CEH45" s="987"/>
      <c r="CEI45" s="987"/>
      <c r="CEJ45" s="987"/>
      <c r="CEK45" s="987"/>
      <c r="CEL45" s="987"/>
      <c r="CEM45" s="987"/>
      <c r="CEN45" s="987"/>
      <c r="CEO45" s="987"/>
      <c r="CEP45" s="987"/>
      <c r="CEQ45" s="987"/>
      <c r="CER45" s="987"/>
      <c r="CES45" s="987"/>
      <c r="CET45" s="987"/>
      <c r="CEU45" s="987"/>
      <c r="CEV45" s="987"/>
      <c r="CEW45" s="987"/>
      <c r="CEX45" s="987"/>
      <c r="CEY45" s="987"/>
      <c r="CEZ45" s="987"/>
      <c r="CFA45" s="987"/>
      <c r="CFB45" s="987"/>
      <c r="CFC45" s="987"/>
      <c r="CFD45" s="987"/>
      <c r="CFE45" s="987"/>
      <c r="CFF45" s="987"/>
      <c r="CFG45" s="987"/>
      <c r="CFH45" s="987"/>
      <c r="CFI45" s="987"/>
      <c r="CFJ45" s="987"/>
      <c r="CFK45" s="987"/>
      <c r="CFL45" s="987"/>
      <c r="CFM45" s="987"/>
      <c r="CFN45" s="987"/>
      <c r="CFO45" s="987"/>
      <c r="CFP45" s="987"/>
      <c r="CFQ45" s="987"/>
      <c r="CFR45" s="987"/>
      <c r="CFS45" s="987"/>
      <c r="CFT45" s="987"/>
      <c r="CFU45" s="987"/>
      <c r="CFV45" s="987"/>
      <c r="CFW45" s="987"/>
      <c r="CFX45" s="987"/>
      <c r="CFY45" s="987"/>
      <c r="CFZ45" s="987"/>
      <c r="CGA45" s="987"/>
      <c r="CGB45" s="987"/>
      <c r="CGC45" s="987"/>
      <c r="CGD45" s="987"/>
      <c r="CGE45" s="987"/>
      <c r="CGF45" s="987"/>
      <c r="CGG45" s="987"/>
      <c r="CGH45" s="987"/>
      <c r="CGI45" s="987"/>
      <c r="CGJ45" s="987"/>
      <c r="CGK45" s="987"/>
      <c r="CGL45" s="987"/>
      <c r="CGM45" s="987"/>
      <c r="CGN45" s="987"/>
      <c r="CGO45" s="987"/>
      <c r="CGP45" s="987"/>
      <c r="CGQ45" s="987"/>
      <c r="CGR45" s="987"/>
      <c r="CGS45" s="987"/>
      <c r="CGT45" s="987"/>
      <c r="CGU45" s="987"/>
      <c r="CGV45" s="987"/>
      <c r="CGW45" s="987"/>
      <c r="CGX45" s="987"/>
      <c r="CGY45" s="987"/>
      <c r="CGZ45" s="987"/>
      <c r="CHA45" s="987"/>
      <c r="CHB45" s="987"/>
      <c r="CHC45" s="987"/>
      <c r="CHD45" s="987"/>
      <c r="CHE45" s="987"/>
      <c r="CHF45" s="987"/>
      <c r="CHG45" s="987"/>
      <c r="CHH45" s="987"/>
      <c r="CHI45" s="987"/>
      <c r="CHJ45" s="987"/>
      <c r="CHK45" s="987"/>
      <c r="CHL45" s="987"/>
      <c r="CHM45" s="987"/>
      <c r="CHN45" s="987"/>
      <c r="CHO45" s="987"/>
      <c r="CHP45" s="987"/>
      <c r="CHQ45" s="987"/>
      <c r="CHR45" s="987"/>
      <c r="CHS45" s="987"/>
      <c r="CHT45" s="987"/>
      <c r="CHU45" s="987"/>
      <c r="CHV45" s="987"/>
      <c r="CHW45" s="987"/>
      <c r="CHX45" s="987"/>
      <c r="CHY45" s="987"/>
      <c r="CHZ45" s="987"/>
      <c r="CIA45" s="987"/>
      <c r="CIB45" s="987"/>
      <c r="CIC45" s="987"/>
      <c r="CID45" s="987"/>
      <c r="CIE45" s="987"/>
      <c r="CIF45" s="987"/>
      <c r="CIG45" s="987"/>
      <c r="CIH45" s="987"/>
      <c r="CII45" s="987"/>
      <c r="CIJ45" s="987"/>
      <c r="CIK45" s="987"/>
      <c r="CIL45" s="987"/>
      <c r="CIM45" s="987"/>
      <c r="CIN45" s="987"/>
      <c r="CIO45" s="987"/>
      <c r="CIP45" s="987"/>
      <c r="CIQ45" s="987"/>
      <c r="CIR45" s="987"/>
      <c r="CIS45" s="987"/>
      <c r="CIT45" s="987"/>
      <c r="CIU45" s="987"/>
      <c r="CIV45" s="987"/>
      <c r="CIW45" s="987"/>
      <c r="CIX45" s="987"/>
      <c r="CIY45" s="987"/>
      <c r="CIZ45" s="987"/>
      <c r="CJA45" s="987"/>
      <c r="CJB45" s="987"/>
      <c r="CJC45" s="987"/>
      <c r="CJD45" s="987"/>
      <c r="CJE45" s="987"/>
      <c r="CJF45" s="987"/>
      <c r="CJG45" s="987"/>
      <c r="CJH45" s="987"/>
      <c r="CJI45" s="987"/>
      <c r="CJJ45" s="987"/>
      <c r="CJK45" s="987"/>
      <c r="CJL45" s="987"/>
      <c r="CJM45" s="987"/>
      <c r="CJN45" s="987"/>
      <c r="CJO45" s="987"/>
      <c r="CJP45" s="987"/>
      <c r="CJQ45" s="987"/>
      <c r="CJR45" s="987"/>
      <c r="CJS45" s="987"/>
      <c r="CJT45" s="987"/>
      <c r="CJU45" s="987"/>
      <c r="CJV45" s="987"/>
      <c r="CJW45" s="987"/>
      <c r="CJX45" s="987"/>
      <c r="CJY45" s="987"/>
      <c r="CJZ45" s="987"/>
      <c r="CKA45" s="987"/>
      <c r="CKB45" s="987"/>
      <c r="CKC45" s="987"/>
      <c r="CKD45" s="987"/>
      <c r="CKE45" s="987"/>
      <c r="CKF45" s="987"/>
      <c r="CKG45" s="987"/>
      <c r="CKH45" s="987"/>
      <c r="CKI45" s="987"/>
      <c r="CKJ45" s="987"/>
      <c r="CKK45" s="987"/>
      <c r="CKL45" s="987"/>
      <c r="CKM45" s="987"/>
      <c r="CKN45" s="987"/>
      <c r="CKO45" s="987"/>
      <c r="CKP45" s="987"/>
      <c r="CKQ45" s="987"/>
      <c r="CKR45" s="987"/>
      <c r="CKS45" s="987"/>
      <c r="CKT45" s="987"/>
      <c r="CKU45" s="987"/>
      <c r="CKV45" s="987"/>
      <c r="CKW45" s="987"/>
      <c r="CKX45" s="987"/>
      <c r="CKY45" s="987"/>
      <c r="CKZ45" s="987"/>
      <c r="CLA45" s="987"/>
      <c r="CLB45" s="987"/>
      <c r="CLC45" s="987"/>
      <c r="CLD45" s="987"/>
      <c r="CLE45" s="987"/>
      <c r="CLF45" s="987"/>
      <c r="CLG45" s="987"/>
      <c r="CLH45" s="987"/>
      <c r="CLI45" s="987"/>
      <c r="CLJ45" s="987"/>
      <c r="CLK45" s="987"/>
      <c r="CLL45" s="987"/>
      <c r="CLM45" s="987"/>
      <c r="CLN45" s="987"/>
      <c r="CLO45" s="987"/>
      <c r="CLP45" s="987"/>
      <c r="CLQ45" s="987"/>
      <c r="CLR45" s="987"/>
      <c r="CLS45" s="987"/>
      <c r="CLT45" s="987"/>
      <c r="CLU45" s="987"/>
      <c r="CLV45" s="987"/>
      <c r="CLW45" s="987"/>
      <c r="CLX45" s="987"/>
      <c r="CLY45" s="987"/>
      <c r="CLZ45" s="987"/>
      <c r="CMA45" s="987"/>
      <c r="CMB45" s="987"/>
      <c r="CMC45" s="987"/>
      <c r="CMD45" s="987"/>
      <c r="CME45" s="987"/>
      <c r="CMF45" s="987"/>
      <c r="CMG45" s="987"/>
      <c r="CMH45" s="987"/>
      <c r="CMI45" s="987"/>
      <c r="CMJ45" s="987"/>
      <c r="CMK45" s="987"/>
      <c r="CML45" s="987"/>
      <c r="CMM45" s="987"/>
      <c r="CMN45" s="987"/>
      <c r="CMO45" s="987"/>
      <c r="CMP45" s="987"/>
      <c r="CMQ45" s="987"/>
      <c r="CMR45" s="987"/>
      <c r="CMS45" s="987"/>
      <c r="CMT45" s="987"/>
      <c r="CMU45" s="987"/>
      <c r="CMV45" s="987"/>
      <c r="CMW45" s="987"/>
      <c r="CMX45" s="987"/>
      <c r="CMY45" s="987"/>
      <c r="CMZ45" s="987"/>
      <c r="CNA45" s="987"/>
      <c r="CNB45" s="987"/>
      <c r="CNC45" s="987"/>
      <c r="CND45" s="987"/>
      <c r="CNE45" s="987"/>
      <c r="CNF45" s="987"/>
      <c r="CNG45" s="987"/>
      <c r="CNH45" s="987"/>
      <c r="CNI45" s="987"/>
      <c r="CNJ45" s="987"/>
      <c r="CNK45" s="987"/>
      <c r="CNL45" s="987"/>
      <c r="CNM45" s="987"/>
      <c r="CNN45" s="987"/>
      <c r="CNO45" s="987"/>
      <c r="CNP45" s="987"/>
      <c r="CNQ45" s="987"/>
      <c r="CNR45" s="987"/>
      <c r="CNS45" s="987"/>
      <c r="CNT45" s="987"/>
      <c r="CNU45" s="987"/>
      <c r="CNV45" s="987"/>
      <c r="CNW45" s="987"/>
      <c r="CNX45" s="987"/>
      <c r="CNY45" s="987"/>
      <c r="CNZ45" s="987"/>
      <c r="COA45" s="987"/>
      <c r="COB45" s="987"/>
      <c r="COC45" s="987"/>
      <c r="COD45" s="987"/>
      <c r="COE45" s="987"/>
      <c r="COF45" s="987"/>
      <c r="COG45" s="987"/>
      <c r="COH45" s="987"/>
      <c r="COI45" s="987"/>
      <c r="COJ45" s="987"/>
      <c r="COK45" s="987"/>
      <c r="COL45" s="987"/>
      <c r="COM45" s="987"/>
      <c r="CON45" s="987"/>
      <c r="COO45" s="987"/>
      <c r="COP45" s="987"/>
      <c r="COQ45" s="987"/>
      <c r="COR45" s="987"/>
      <c r="COS45" s="987"/>
      <c r="COT45" s="987"/>
      <c r="COU45" s="987"/>
      <c r="COV45" s="987"/>
      <c r="COW45" s="987"/>
      <c r="COX45" s="987"/>
      <c r="COY45" s="987"/>
      <c r="COZ45" s="987"/>
      <c r="CPA45" s="987"/>
      <c r="CPB45" s="987"/>
      <c r="CPC45" s="987"/>
      <c r="CPD45" s="987"/>
      <c r="CPE45" s="987"/>
      <c r="CPF45" s="987"/>
      <c r="CPG45" s="987"/>
      <c r="CPH45" s="987"/>
      <c r="CPI45" s="987"/>
      <c r="CPJ45" s="987"/>
      <c r="CPK45" s="987"/>
      <c r="CPL45" s="987"/>
      <c r="CPM45" s="987"/>
      <c r="CPN45" s="987"/>
      <c r="CPO45" s="987"/>
      <c r="CPP45" s="987"/>
      <c r="CPQ45" s="987"/>
      <c r="CPR45" s="987"/>
      <c r="CPS45" s="987"/>
      <c r="CPT45" s="987"/>
      <c r="CPU45" s="987"/>
      <c r="CPV45" s="987"/>
      <c r="CPW45" s="987"/>
      <c r="CPX45" s="987"/>
      <c r="CPY45" s="987"/>
      <c r="CPZ45" s="987"/>
      <c r="CQA45" s="987"/>
      <c r="CQB45" s="987"/>
      <c r="CQC45" s="987"/>
      <c r="CQD45" s="987"/>
      <c r="CQE45" s="987"/>
      <c r="CQF45" s="987"/>
      <c r="CQG45" s="987"/>
      <c r="CQH45" s="987"/>
      <c r="CQI45" s="987"/>
      <c r="CQJ45" s="987"/>
      <c r="CQK45" s="987"/>
      <c r="CQL45" s="987"/>
      <c r="CQM45" s="987"/>
      <c r="CQN45" s="987"/>
      <c r="CQO45" s="987"/>
      <c r="CQP45" s="987"/>
      <c r="CQQ45" s="987"/>
      <c r="CQR45" s="987"/>
      <c r="CQS45" s="987"/>
      <c r="CQT45" s="987"/>
      <c r="CQU45" s="987"/>
      <c r="CQV45" s="987"/>
      <c r="CQW45" s="987"/>
      <c r="CQX45" s="987"/>
      <c r="CQY45" s="987"/>
      <c r="CQZ45" s="987"/>
      <c r="CRA45" s="987"/>
      <c r="CRB45" s="987"/>
      <c r="CRC45" s="987"/>
      <c r="CRD45" s="987"/>
      <c r="CRE45" s="987"/>
      <c r="CRF45" s="987"/>
      <c r="CRG45" s="987"/>
      <c r="CRH45" s="987"/>
      <c r="CRI45" s="987"/>
      <c r="CRJ45" s="987"/>
      <c r="CRK45" s="987"/>
      <c r="CRL45" s="987"/>
      <c r="CRM45" s="987"/>
      <c r="CRN45" s="987"/>
      <c r="CRO45" s="987"/>
      <c r="CRP45" s="987"/>
      <c r="CRQ45" s="987"/>
      <c r="CRR45" s="987"/>
      <c r="CRS45" s="987"/>
      <c r="CRT45" s="987"/>
      <c r="CRU45" s="987"/>
      <c r="CRV45" s="987"/>
      <c r="CRW45" s="987"/>
      <c r="CRX45" s="987"/>
      <c r="CRY45" s="987"/>
      <c r="CRZ45" s="987"/>
      <c r="CSA45" s="987"/>
      <c r="CSB45" s="987"/>
      <c r="CSC45" s="987"/>
      <c r="CSD45" s="987"/>
      <c r="CSE45" s="987"/>
      <c r="CSF45" s="987"/>
      <c r="CSG45" s="987"/>
      <c r="CSH45" s="987"/>
      <c r="CSI45" s="987"/>
      <c r="CSJ45" s="987"/>
      <c r="CSK45" s="987"/>
      <c r="CSL45" s="987"/>
      <c r="CSM45" s="987"/>
      <c r="CSN45" s="987"/>
      <c r="CSO45" s="987"/>
      <c r="CSP45" s="987"/>
      <c r="CSQ45" s="987"/>
      <c r="CSR45" s="987"/>
      <c r="CSS45" s="987"/>
      <c r="CST45" s="987"/>
      <c r="CSU45" s="987"/>
      <c r="CSV45" s="987"/>
      <c r="CSW45" s="987"/>
      <c r="CSX45" s="987"/>
      <c r="CSY45" s="987"/>
      <c r="CSZ45" s="987"/>
      <c r="CTA45" s="987"/>
      <c r="CTB45" s="987"/>
      <c r="CTC45" s="987"/>
      <c r="CTD45" s="987"/>
      <c r="CTE45" s="987"/>
      <c r="CTF45" s="987"/>
      <c r="CTG45" s="987"/>
      <c r="CTH45" s="987"/>
      <c r="CTI45" s="987"/>
      <c r="CTJ45" s="987"/>
      <c r="CTK45" s="987"/>
      <c r="CTL45" s="987"/>
      <c r="CTM45" s="987"/>
      <c r="CTN45" s="987"/>
      <c r="CTO45" s="987"/>
      <c r="CTP45" s="987"/>
      <c r="CTQ45" s="987"/>
      <c r="CTR45" s="987"/>
      <c r="CTS45" s="987"/>
      <c r="CTT45" s="987"/>
      <c r="CTU45" s="987"/>
      <c r="CTV45" s="987"/>
      <c r="CTW45" s="987"/>
      <c r="CTX45" s="987"/>
      <c r="CTY45" s="987"/>
      <c r="CTZ45" s="987"/>
      <c r="CUA45" s="987"/>
      <c r="CUB45" s="987"/>
      <c r="CUC45" s="987"/>
      <c r="CUD45" s="987"/>
      <c r="CUE45" s="987"/>
      <c r="CUF45" s="987"/>
      <c r="CUG45" s="987"/>
      <c r="CUH45" s="987"/>
      <c r="CUI45" s="987"/>
      <c r="CUJ45" s="987"/>
      <c r="CUK45" s="987"/>
      <c r="CUL45" s="987"/>
      <c r="CUM45" s="987"/>
      <c r="CUN45" s="987"/>
      <c r="CUO45" s="987"/>
      <c r="CUP45" s="987"/>
      <c r="CUQ45" s="987"/>
      <c r="CUR45" s="987"/>
      <c r="CUS45" s="987"/>
      <c r="CUT45" s="987"/>
      <c r="CUU45" s="987"/>
      <c r="CUV45" s="987"/>
      <c r="CUW45" s="987"/>
      <c r="CUX45" s="987"/>
      <c r="CUY45" s="987"/>
      <c r="CUZ45" s="987"/>
      <c r="CVA45" s="987"/>
      <c r="CVB45" s="987"/>
      <c r="CVC45" s="987"/>
      <c r="CVD45" s="987"/>
      <c r="CVE45" s="987"/>
      <c r="CVF45" s="987"/>
      <c r="CVG45" s="987"/>
      <c r="CVH45" s="987"/>
      <c r="CVI45" s="987"/>
      <c r="CVJ45" s="987"/>
      <c r="CVK45" s="987"/>
      <c r="CVL45" s="987"/>
      <c r="CVM45" s="987"/>
      <c r="CVN45" s="987"/>
      <c r="CVO45" s="987"/>
      <c r="CVP45" s="987"/>
      <c r="CVQ45" s="987"/>
      <c r="CVR45" s="987"/>
      <c r="CVS45" s="987"/>
      <c r="CVT45" s="987"/>
      <c r="CVU45" s="987"/>
      <c r="CVV45" s="987"/>
      <c r="CVW45" s="987"/>
      <c r="CVX45" s="987"/>
      <c r="CVY45" s="987"/>
      <c r="CVZ45" s="987"/>
      <c r="CWA45" s="987"/>
      <c r="CWB45" s="987"/>
      <c r="CWC45" s="987"/>
      <c r="CWD45" s="987"/>
      <c r="CWE45" s="987"/>
      <c r="CWF45" s="987"/>
      <c r="CWG45" s="987"/>
      <c r="CWH45" s="987"/>
      <c r="CWI45" s="987"/>
      <c r="CWJ45" s="987"/>
      <c r="CWK45" s="987"/>
      <c r="CWL45" s="987"/>
      <c r="CWM45" s="987"/>
      <c r="CWN45" s="987"/>
      <c r="CWO45" s="987"/>
      <c r="CWP45" s="987"/>
      <c r="CWQ45" s="987"/>
      <c r="CWR45" s="987"/>
      <c r="CWS45" s="987"/>
      <c r="CWT45" s="987"/>
      <c r="CWU45" s="987"/>
      <c r="CWV45" s="987"/>
      <c r="CWW45" s="987"/>
      <c r="CWX45" s="987"/>
      <c r="CWY45" s="987"/>
      <c r="CWZ45" s="987"/>
      <c r="CXA45" s="987"/>
      <c r="CXB45" s="987"/>
      <c r="CXC45" s="987"/>
      <c r="CXD45" s="987"/>
      <c r="CXE45" s="987"/>
      <c r="CXF45" s="987"/>
      <c r="CXG45" s="987"/>
      <c r="CXH45" s="987"/>
      <c r="CXI45" s="987"/>
      <c r="CXJ45" s="987"/>
      <c r="CXK45" s="987"/>
      <c r="CXL45" s="987"/>
      <c r="CXM45" s="987"/>
      <c r="CXN45" s="987"/>
      <c r="CXO45" s="987"/>
      <c r="CXP45" s="987"/>
      <c r="CXQ45" s="987"/>
      <c r="CXR45" s="987"/>
      <c r="CXS45" s="987"/>
      <c r="CXT45" s="987"/>
      <c r="CXU45" s="987"/>
      <c r="CXV45" s="987"/>
      <c r="CXW45" s="987"/>
      <c r="CXX45" s="987"/>
      <c r="CXY45" s="987"/>
      <c r="CXZ45" s="987"/>
      <c r="CYA45" s="987"/>
      <c r="CYB45" s="987"/>
      <c r="CYC45" s="987"/>
      <c r="CYD45" s="987"/>
      <c r="CYE45" s="987"/>
      <c r="CYF45" s="987"/>
      <c r="CYG45" s="987"/>
      <c r="CYH45" s="987"/>
      <c r="CYI45" s="987"/>
      <c r="CYJ45" s="987"/>
      <c r="CYK45" s="987"/>
      <c r="CYL45" s="987"/>
      <c r="CYM45" s="987"/>
      <c r="CYN45" s="987"/>
      <c r="CYO45" s="987"/>
      <c r="CYP45" s="987"/>
      <c r="CYQ45" s="987"/>
      <c r="CYR45" s="987"/>
      <c r="CYS45" s="987"/>
      <c r="CYT45" s="987"/>
      <c r="CYU45" s="987"/>
      <c r="CYV45" s="987"/>
      <c r="CYW45" s="987"/>
      <c r="CYX45" s="987"/>
      <c r="CYY45" s="987"/>
      <c r="CYZ45" s="987"/>
      <c r="CZA45" s="987"/>
      <c r="CZB45" s="987"/>
      <c r="CZC45" s="987"/>
      <c r="CZD45" s="987"/>
      <c r="CZE45" s="987"/>
      <c r="CZF45" s="987"/>
      <c r="CZG45" s="987"/>
      <c r="CZH45" s="987"/>
      <c r="CZI45" s="987"/>
      <c r="CZJ45" s="987"/>
      <c r="CZK45" s="987"/>
      <c r="CZL45" s="987"/>
      <c r="CZM45" s="987"/>
      <c r="CZN45" s="987"/>
      <c r="CZO45" s="987"/>
      <c r="CZP45" s="987"/>
      <c r="CZQ45" s="987"/>
      <c r="CZR45" s="987"/>
      <c r="CZS45" s="987"/>
      <c r="CZT45" s="987"/>
      <c r="CZU45" s="987"/>
      <c r="CZV45" s="987"/>
      <c r="CZW45" s="987"/>
      <c r="CZX45" s="987"/>
      <c r="CZY45" s="987"/>
      <c r="CZZ45" s="987"/>
      <c r="DAA45" s="987"/>
      <c r="DAB45" s="987"/>
      <c r="DAC45" s="987"/>
      <c r="DAD45" s="987"/>
      <c r="DAE45" s="987"/>
      <c r="DAF45" s="987"/>
      <c r="DAG45" s="987"/>
      <c r="DAH45" s="987"/>
      <c r="DAI45" s="987"/>
      <c r="DAJ45" s="987"/>
      <c r="DAK45" s="987"/>
      <c r="DAL45" s="987"/>
      <c r="DAM45" s="987"/>
      <c r="DAN45" s="987"/>
      <c r="DAO45" s="987"/>
      <c r="DAP45" s="987"/>
      <c r="DAQ45" s="987"/>
      <c r="DAR45" s="987"/>
      <c r="DAS45" s="987"/>
      <c r="DAT45" s="987"/>
      <c r="DAU45" s="987"/>
      <c r="DAV45" s="987"/>
      <c r="DAW45" s="987"/>
      <c r="DAX45" s="987"/>
      <c r="DAY45" s="987"/>
      <c r="DAZ45" s="987"/>
      <c r="DBA45" s="987"/>
      <c r="DBB45" s="987"/>
      <c r="DBC45" s="987"/>
      <c r="DBD45" s="987"/>
      <c r="DBE45" s="987"/>
      <c r="DBF45" s="987"/>
      <c r="DBG45" s="987"/>
      <c r="DBH45" s="987"/>
      <c r="DBI45" s="987"/>
      <c r="DBJ45" s="987"/>
      <c r="DBK45" s="987"/>
      <c r="DBL45" s="987"/>
      <c r="DBM45" s="987"/>
      <c r="DBN45" s="987"/>
      <c r="DBO45" s="987"/>
      <c r="DBP45" s="987"/>
      <c r="DBQ45" s="987"/>
      <c r="DBR45" s="987"/>
      <c r="DBS45" s="987"/>
      <c r="DBT45" s="987"/>
      <c r="DBU45" s="987"/>
      <c r="DBV45" s="987"/>
      <c r="DBW45" s="987"/>
      <c r="DBX45" s="987"/>
      <c r="DBY45" s="987"/>
      <c r="DBZ45" s="987"/>
      <c r="DCA45" s="987"/>
      <c r="DCB45" s="987"/>
      <c r="DCC45" s="987"/>
      <c r="DCD45" s="987"/>
      <c r="DCE45" s="987"/>
      <c r="DCF45" s="987"/>
      <c r="DCG45" s="987"/>
      <c r="DCH45" s="987"/>
      <c r="DCI45" s="987"/>
      <c r="DCJ45" s="987"/>
      <c r="DCK45" s="987"/>
      <c r="DCL45" s="987"/>
      <c r="DCM45" s="987"/>
      <c r="DCN45" s="987"/>
      <c r="DCO45" s="987"/>
      <c r="DCP45" s="987"/>
      <c r="DCQ45" s="987"/>
      <c r="DCR45" s="987"/>
      <c r="DCS45" s="987"/>
      <c r="DCT45" s="987"/>
      <c r="DCU45" s="987"/>
      <c r="DCV45" s="987"/>
      <c r="DCW45" s="987"/>
      <c r="DCX45" s="987"/>
      <c r="DCY45" s="987"/>
      <c r="DCZ45" s="987"/>
      <c r="DDA45" s="987"/>
      <c r="DDB45" s="987"/>
      <c r="DDC45" s="987"/>
      <c r="DDD45" s="987"/>
      <c r="DDE45" s="987"/>
      <c r="DDF45" s="987"/>
      <c r="DDG45" s="987"/>
      <c r="DDH45" s="987"/>
      <c r="DDI45" s="987"/>
      <c r="DDJ45" s="987"/>
      <c r="DDK45" s="987"/>
      <c r="DDL45" s="987"/>
      <c r="DDM45" s="987"/>
      <c r="DDN45" s="987"/>
      <c r="DDO45" s="987"/>
      <c r="DDP45" s="987"/>
      <c r="DDQ45" s="987"/>
      <c r="DDR45" s="987"/>
      <c r="DDS45" s="987"/>
      <c r="DDT45" s="987"/>
      <c r="DDU45" s="987"/>
      <c r="DDV45" s="987"/>
      <c r="DDW45" s="987"/>
      <c r="DDX45" s="987"/>
      <c r="DDY45" s="987"/>
      <c r="DDZ45" s="987"/>
      <c r="DEA45" s="987"/>
      <c r="DEB45" s="987"/>
      <c r="DEC45" s="987"/>
      <c r="DED45" s="987"/>
      <c r="DEE45" s="987"/>
      <c r="DEF45" s="987"/>
      <c r="DEG45" s="987"/>
      <c r="DEH45" s="987"/>
      <c r="DEI45" s="987"/>
      <c r="DEJ45" s="987"/>
      <c r="DEK45" s="987"/>
      <c r="DEL45" s="987"/>
      <c r="DEM45" s="987"/>
      <c r="DEN45" s="987"/>
      <c r="DEO45" s="987"/>
      <c r="DEP45" s="987"/>
      <c r="DEQ45" s="987"/>
      <c r="DER45" s="987"/>
      <c r="DES45" s="987"/>
      <c r="DET45" s="987"/>
      <c r="DEU45" s="987"/>
      <c r="DEV45" s="987"/>
      <c r="DEW45" s="987"/>
      <c r="DEX45" s="987"/>
      <c r="DEY45" s="987"/>
      <c r="DEZ45" s="987"/>
      <c r="DFA45" s="987"/>
      <c r="DFB45" s="987"/>
      <c r="DFC45" s="987"/>
      <c r="DFD45" s="987"/>
      <c r="DFE45" s="987"/>
      <c r="DFF45" s="987"/>
      <c r="DFG45" s="987"/>
      <c r="DFH45" s="987"/>
      <c r="DFI45" s="987"/>
      <c r="DFJ45" s="987"/>
      <c r="DFK45" s="987"/>
      <c r="DFL45" s="987"/>
      <c r="DFM45" s="987"/>
      <c r="DFN45" s="987"/>
      <c r="DFO45" s="987"/>
      <c r="DFP45" s="987"/>
      <c r="DFQ45" s="987"/>
      <c r="DFR45" s="987"/>
      <c r="DFS45" s="987"/>
      <c r="DFT45" s="987"/>
      <c r="DFU45" s="987"/>
      <c r="DFV45" s="987"/>
      <c r="DFW45" s="987"/>
      <c r="DFX45" s="987"/>
      <c r="DFY45" s="987"/>
      <c r="DFZ45" s="987"/>
      <c r="DGA45" s="987"/>
      <c r="DGB45" s="987"/>
      <c r="DGC45" s="987"/>
      <c r="DGD45" s="987"/>
      <c r="DGE45" s="987"/>
      <c r="DGF45" s="987"/>
      <c r="DGG45" s="987"/>
      <c r="DGH45" s="987"/>
      <c r="DGI45" s="987"/>
      <c r="DGJ45" s="987"/>
      <c r="DGK45" s="987"/>
      <c r="DGL45" s="987"/>
      <c r="DGM45" s="987"/>
      <c r="DGN45" s="987"/>
      <c r="DGO45" s="987"/>
      <c r="DGP45" s="987"/>
      <c r="DGQ45" s="987"/>
      <c r="DGR45" s="987"/>
      <c r="DGS45" s="987"/>
      <c r="DGT45" s="987"/>
      <c r="DGU45" s="987"/>
      <c r="DGV45" s="987"/>
      <c r="DGW45" s="987"/>
      <c r="DGX45" s="987"/>
      <c r="DGY45" s="987"/>
      <c r="DGZ45" s="987"/>
      <c r="DHA45" s="987"/>
      <c r="DHB45" s="987"/>
      <c r="DHC45" s="987"/>
      <c r="DHD45" s="987"/>
      <c r="DHE45" s="987"/>
      <c r="DHF45" s="987"/>
      <c r="DHG45" s="987"/>
      <c r="DHH45" s="987"/>
      <c r="DHI45" s="987"/>
      <c r="DHJ45" s="987"/>
      <c r="DHK45" s="987"/>
      <c r="DHL45" s="987"/>
      <c r="DHM45" s="987"/>
      <c r="DHN45" s="987"/>
      <c r="DHO45" s="987"/>
      <c r="DHP45" s="987"/>
      <c r="DHQ45" s="987"/>
      <c r="DHR45" s="987"/>
      <c r="DHS45" s="987"/>
      <c r="DHT45" s="987"/>
      <c r="DHU45" s="987"/>
      <c r="DHV45" s="987"/>
      <c r="DHW45" s="987"/>
      <c r="DHX45" s="987"/>
      <c r="DHY45" s="987"/>
      <c r="DHZ45" s="987"/>
      <c r="DIA45" s="987"/>
      <c r="DIB45" s="987"/>
      <c r="DIC45" s="987"/>
      <c r="DID45" s="987"/>
      <c r="DIE45" s="987"/>
      <c r="DIF45" s="987"/>
      <c r="DIG45" s="987"/>
      <c r="DIH45" s="987"/>
      <c r="DII45" s="987"/>
      <c r="DIJ45" s="987"/>
      <c r="DIK45" s="987"/>
      <c r="DIL45" s="987"/>
      <c r="DIM45" s="987"/>
      <c r="DIN45" s="987"/>
      <c r="DIO45" s="987"/>
      <c r="DIP45" s="987"/>
      <c r="DIQ45" s="987"/>
      <c r="DIR45" s="987"/>
      <c r="DIS45" s="987"/>
      <c r="DIT45" s="987"/>
      <c r="DIU45" s="987"/>
      <c r="DIV45" s="987"/>
      <c r="DIW45" s="987"/>
      <c r="DIX45" s="987"/>
      <c r="DIY45" s="987"/>
      <c r="DIZ45" s="987"/>
      <c r="DJA45" s="987"/>
      <c r="DJB45" s="987"/>
      <c r="DJC45" s="987"/>
      <c r="DJD45" s="987"/>
      <c r="DJE45" s="987"/>
      <c r="DJF45" s="987"/>
      <c r="DJG45" s="987"/>
      <c r="DJH45" s="987"/>
      <c r="DJI45" s="987"/>
      <c r="DJJ45" s="987"/>
      <c r="DJK45" s="987"/>
      <c r="DJL45" s="987"/>
      <c r="DJM45" s="987"/>
      <c r="DJN45" s="987"/>
      <c r="DJO45" s="987"/>
      <c r="DJP45" s="987"/>
      <c r="DJQ45" s="987"/>
      <c r="DJR45" s="987"/>
      <c r="DJS45" s="987"/>
      <c r="DJT45" s="987"/>
      <c r="DJU45" s="987"/>
      <c r="DJV45" s="987"/>
      <c r="DJW45" s="987"/>
      <c r="DJX45" s="987"/>
      <c r="DJY45" s="987"/>
      <c r="DJZ45" s="987"/>
      <c r="DKA45" s="987"/>
      <c r="DKB45" s="987"/>
      <c r="DKC45" s="987"/>
      <c r="DKD45" s="987"/>
      <c r="DKE45" s="987"/>
      <c r="DKF45" s="987"/>
      <c r="DKG45" s="987"/>
      <c r="DKH45" s="987"/>
      <c r="DKI45" s="987"/>
      <c r="DKJ45" s="987"/>
      <c r="DKK45" s="987"/>
      <c r="DKL45" s="987"/>
      <c r="DKM45" s="987"/>
      <c r="DKN45" s="987"/>
      <c r="DKO45" s="987"/>
      <c r="DKP45" s="987"/>
      <c r="DKQ45" s="987"/>
      <c r="DKR45" s="987"/>
      <c r="DKS45" s="987"/>
      <c r="DKT45" s="987"/>
      <c r="DKU45" s="987"/>
      <c r="DKV45" s="987"/>
      <c r="DKW45" s="987"/>
      <c r="DKX45" s="987"/>
      <c r="DKY45" s="987"/>
      <c r="DKZ45" s="987"/>
      <c r="DLA45" s="987"/>
      <c r="DLB45" s="987"/>
      <c r="DLC45" s="987"/>
      <c r="DLD45" s="987"/>
      <c r="DLE45" s="987"/>
      <c r="DLF45" s="987"/>
      <c r="DLG45" s="987"/>
      <c r="DLH45" s="987"/>
      <c r="DLI45" s="987"/>
      <c r="DLJ45" s="987"/>
      <c r="DLK45" s="987"/>
      <c r="DLL45" s="987"/>
      <c r="DLM45" s="987"/>
      <c r="DLN45" s="987"/>
      <c r="DLO45" s="987"/>
      <c r="DLP45" s="987"/>
      <c r="DLQ45" s="987"/>
      <c r="DLR45" s="987"/>
      <c r="DLS45" s="987"/>
      <c r="DLT45" s="987"/>
      <c r="DLU45" s="987"/>
      <c r="DLV45" s="987"/>
      <c r="DLW45" s="987"/>
      <c r="DLX45" s="987"/>
      <c r="DLY45" s="987"/>
      <c r="DLZ45" s="987"/>
      <c r="DMA45" s="987"/>
      <c r="DMB45" s="987"/>
      <c r="DMC45" s="987"/>
      <c r="DMD45" s="987"/>
      <c r="DME45" s="987"/>
      <c r="DMF45" s="987"/>
      <c r="DMG45" s="987"/>
      <c r="DMH45" s="987"/>
      <c r="DMI45" s="987"/>
      <c r="DMJ45" s="987"/>
      <c r="DMK45" s="987"/>
      <c r="DML45" s="987"/>
      <c r="DMM45" s="987"/>
      <c r="DMN45" s="987"/>
      <c r="DMO45" s="987"/>
      <c r="DMP45" s="987"/>
      <c r="DMQ45" s="987"/>
      <c r="DMR45" s="987"/>
      <c r="DMS45" s="987"/>
      <c r="DMT45" s="987"/>
      <c r="DMU45" s="987"/>
      <c r="DMV45" s="987"/>
      <c r="DMW45" s="987"/>
      <c r="DMX45" s="987"/>
      <c r="DMY45" s="987"/>
      <c r="DMZ45" s="987"/>
      <c r="DNA45" s="987"/>
      <c r="DNB45" s="987"/>
      <c r="DNC45" s="987"/>
      <c r="DND45" s="987"/>
      <c r="DNE45" s="987"/>
      <c r="DNF45" s="987"/>
      <c r="DNG45" s="987"/>
      <c r="DNH45" s="987"/>
      <c r="DNI45" s="987"/>
      <c r="DNJ45" s="987"/>
      <c r="DNK45" s="987"/>
      <c r="DNL45" s="987"/>
      <c r="DNM45" s="987"/>
      <c r="DNN45" s="987"/>
      <c r="DNO45" s="987"/>
      <c r="DNP45" s="987"/>
      <c r="DNQ45" s="987"/>
      <c r="DNR45" s="987"/>
      <c r="DNS45" s="987"/>
      <c r="DNT45" s="987"/>
      <c r="DNU45" s="987"/>
      <c r="DNV45" s="987"/>
      <c r="DNW45" s="987"/>
      <c r="DNX45" s="987"/>
      <c r="DNY45" s="987"/>
      <c r="DNZ45" s="987"/>
      <c r="DOA45" s="987"/>
      <c r="DOB45" s="987"/>
      <c r="DOC45" s="987"/>
      <c r="DOD45" s="987"/>
      <c r="DOE45" s="987"/>
      <c r="DOF45" s="987"/>
      <c r="DOG45" s="987"/>
      <c r="DOH45" s="987"/>
      <c r="DOI45" s="987"/>
      <c r="DOJ45" s="987"/>
      <c r="DOK45" s="987"/>
      <c r="DOL45" s="987"/>
      <c r="DOM45" s="987"/>
      <c r="DON45" s="987"/>
      <c r="DOO45" s="987"/>
      <c r="DOP45" s="987"/>
      <c r="DOQ45" s="987"/>
      <c r="DOR45" s="987"/>
      <c r="DOS45" s="987"/>
      <c r="DOT45" s="987"/>
      <c r="DOU45" s="987"/>
      <c r="DOV45" s="987"/>
      <c r="DOW45" s="987"/>
      <c r="DOX45" s="987"/>
      <c r="DOY45" s="987"/>
      <c r="DOZ45" s="987"/>
      <c r="DPA45" s="987"/>
      <c r="DPB45" s="987"/>
      <c r="DPC45" s="987"/>
      <c r="DPD45" s="987"/>
      <c r="DPE45" s="987"/>
      <c r="DPF45" s="987"/>
      <c r="DPG45" s="987"/>
      <c r="DPH45" s="987"/>
      <c r="DPI45" s="987"/>
      <c r="DPJ45" s="987"/>
      <c r="DPK45" s="987"/>
      <c r="DPL45" s="987"/>
      <c r="DPM45" s="987"/>
      <c r="DPN45" s="987"/>
      <c r="DPO45" s="987"/>
      <c r="DPP45" s="987"/>
      <c r="DPQ45" s="987"/>
      <c r="DPR45" s="987"/>
      <c r="DPS45" s="987"/>
      <c r="DPT45" s="987"/>
      <c r="DPU45" s="987"/>
      <c r="DPV45" s="987"/>
      <c r="DPW45" s="987"/>
      <c r="DPX45" s="987"/>
      <c r="DPY45" s="987"/>
      <c r="DPZ45" s="987"/>
      <c r="DQA45" s="987"/>
      <c r="DQB45" s="987"/>
      <c r="DQC45" s="987"/>
      <c r="DQD45" s="987"/>
      <c r="DQE45" s="987"/>
      <c r="DQF45" s="987"/>
      <c r="DQG45" s="987"/>
      <c r="DQH45" s="987"/>
      <c r="DQI45" s="987"/>
      <c r="DQJ45" s="987"/>
      <c r="DQK45" s="987"/>
      <c r="DQL45" s="987"/>
      <c r="DQM45" s="987"/>
      <c r="DQN45" s="987"/>
      <c r="DQO45" s="987"/>
      <c r="DQP45" s="987"/>
      <c r="DQQ45" s="987"/>
      <c r="DQR45" s="987"/>
      <c r="DQS45" s="987"/>
      <c r="DQT45" s="987"/>
      <c r="DQU45" s="987"/>
      <c r="DQV45" s="987"/>
      <c r="DQW45" s="987"/>
      <c r="DQX45" s="987"/>
      <c r="DQY45" s="987"/>
      <c r="DQZ45" s="987"/>
      <c r="DRA45" s="987"/>
      <c r="DRB45" s="987"/>
      <c r="DRC45" s="987"/>
      <c r="DRD45" s="987"/>
      <c r="DRE45" s="987"/>
      <c r="DRF45" s="987"/>
      <c r="DRG45" s="987"/>
      <c r="DRH45" s="987"/>
      <c r="DRI45" s="987"/>
      <c r="DRJ45" s="987"/>
      <c r="DRK45" s="987"/>
      <c r="DRL45" s="987"/>
      <c r="DRM45" s="987"/>
      <c r="DRN45" s="987"/>
      <c r="DRO45" s="987"/>
      <c r="DRP45" s="987"/>
      <c r="DRQ45" s="987"/>
      <c r="DRR45" s="987"/>
      <c r="DRS45" s="987"/>
      <c r="DRT45" s="987"/>
      <c r="DRU45" s="987"/>
      <c r="DRV45" s="987"/>
      <c r="DRW45" s="987"/>
      <c r="DRX45" s="987"/>
      <c r="DRY45" s="987"/>
      <c r="DRZ45" s="987"/>
      <c r="DSA45" s="987"/>
      <c r="DSB45" s="987"/>
      <c r="DSC45" s="987"/>
      <c r="DSD45" s="987"/>
      <c r="DSE45" s="987"/>
      <c r="DSF45" s="987"/>
      <c r="DSG45" s="987"/>
      <c r="DSH45" s="987"/>
      <c r="DSI45" s="987"/>
      <c r="DSJ45" s="987"/>
      <c r="DSK45" s="987"/>
      <c r="DSL45" s="987"/>
      <c r="DSM45" s="987"/>
      <c r="DSN45" s="987"/>
      <c r="DSO45" s="987"/>
      <c r="DSP45" s="987"/>
      <c r="DSQ45" s="987"/>
      <c r="DSR45" s="987"/>
      <c r="DSS45" s="987"/>
      <c r="DST45" s="987"/>
      <c r="DSU45" s="987"/>
      <c r="DSV45" s="987"/>
      <c r="DSW45" s="987"/>
      <c r="DSX45" s="987"/>
      <c r="DSY45" s="987"/>
      <c r="DSZ45" s="987"/>
      <c r="DTA45" s="987"/>
      <c r="DTB45" s="987"/>
      <c r="DTC45" s="987"/>
      <c r="DTD45" s="987"/>
      <c r="DTE45" s="987"/>
      <c r="DTF45" s="987"/>
      <c r="DTG45" s="987"/>
      <c r="DTH45" s="987"/>
      <c r="DTI45" s="987"/>
      <c r="DTJ45" s="987"/>
      <c r="DTK45" s="987"/>
      <c r="DTL45" s="987"/>
      <c r="DTM45" s="987"/>
      <c r="DTN45" s="987"/>
      <c r="DTO45" s="987"/>
      <c r="DTP45" s="987"/>
      <c r="DTQ45" s="987"/>
      <c r="DTR45" s="987"/>
      <c r="DTS45" s="987"/>
      <c r="DTT45" s="987"/>
      <c r="DTU45" s="987"/>
      <c r="DTV45" s="987"/>
      <c r="DTW45" s="987"/>
      <c r="DTX45" s="987"/>
      <c r="DTY45" s="987"/>
      <c r="DTZ45" s="987"/>
      <c r="DUA45" s="987"/>
      <c r="DUB45" s="987"/>
      <c r="DUC45" s="987"/>
      <c r="DUD45" s="987"/>
      <c r="DUE45" s="987"/>
      <c r="DUF45" s="987"/>
      <c r="DUG45" s="987"/>
      <c r="DUH45" s="987"/>
      <c r="DUI45" s="987"/>
      <c r="DUJ45" s="987"/>
      <c r="DUK45" s="987"/>
      <c r="DUL45" s="987"/>
      <c r="DUM45" s="987"/>
      <c r="DUN45" s="987"/>
      <c r="DUO45" s="987"/>
      <c r="DUP45" s="987"/>
      <c r="DUQ45" s="987"/>
      <c r="DUR45" s="987"/>
      <c r="DUS45" s="987"/>
      <c r="DUT45" s="987"/>
      <c r="DUU45" s="987"/>
      <c r="DUV45" s="987"/>
      <c r="DUW45" s="987"/>
      <c r="DUX45" s="987"/>
      <c r="DUY45" s="987"/>
      <c r="DUZ45" s="987"/>
      <c r="DVA45" s="987"/>
      <c r="DVB45" s="987"/>
      <c r="DVC45" s="987"/>
      <c r="DVD45" s="987"/>
      <c r="DVE45" s="987"/>
      <c r="DVF45" s="987"/>
      <c r="DVG45" s="987"/>
      <c r="DVH45" s="987"/>
      <c r="DVI45" s="987"/>
      <c r="DVJ45" s="987"/>
      <c r="DVK45" s="987"/>
      <c r="DVL45" s="987"/>
      <c r="DVM45" s="987"/>
      <c r="DVN45" s="987"/>
      <c r="DVO45" s="987"/>
      <c r="DVP45" s="987"/>
      <c r="DVQ45" s="987"/>
      <c r="DVR45" s="987"/>
      <c r="DVS45" s="987"/>
      <c r="DVT45" s="987"/>
      <c r="DVU45" s="987"/>
      <c r="DVV45" s="987"/>
      <c r="DVW45" s="987"/>
      <c r="DVX45" s="987"/>
      <c r="DVY45" s="987"/>
      <c r="DVZ45" s="987"/>
      <c r="DWA45" s="987"/>
      <c r="DWB45" s="987"/>
      <c r="DWC45" s="987"/>
      <c r="DWD45" s="987"/>
      <c r="DWE45" s="987"/>
      <c r="DWF45" s="987"/>
      <c r="DWG45" s="987"/>
      <c r="DWH45" s="987"/>
      <c r="DWI45" s="987"/>
      <c r="DWJ45" s="987"/>
      <c r="DWK45" s="987"/>
      <c r="DWL45" s="987"/>
      <c r="DWM45" s="987"/>
      <c r="DWN45" s="987"/>
      <c r="DWO45" s="987"/>
      <c r="DWP45" s="987"/>
      <c r="DWQ45" s="987"/>
      <c r="DWR45" s="987"/>
      <c r="DWS45" s="987"/>
      <c r="DWT45" s="987"/>
      <c r="DWU45" s="987"/>
      <c r="DWV45" s="987"/>
      <c r="DWW45" s="987"/>
      <c r="DWX45" s="987"/>
      <c r="DWY45" s="987"/>
      <c r="DWZ45" s="987"/>
      <c r="DXA45" s="987"/>
      <c r="DXB45" s="987"/>
      <c r="DXC45" s="987"/>
      <c r="DXD45" s="987"/>
      <c r="DXE45" s="987"/>
      <c r="DXF45" s="987"/>
      <c r="DXG45" s="987"/>
      <c r="DXH45" s="987"/>
      <c r="DXI45" s="987"/>
      <c r="DXJ45" s="987"/>
      <c r="DXK45" s="987"/>
      <c r="DXL45" s="987"/>
      <c r="DXM45" s="987"/>
      <c r="DXN45" s="987"/>
      <c r="DXO45" s="987"/>
      <c r="DXP45" s="987"/>
      <c r="DXQ45" s="987"/>
      <c r="DXR45" s="987"/>
      <c r="DXS45" s="987"/>
      <c r="DXT45" s="987"/>
      <c r="DXU45" s="987"/>
      <c r="DXV45" s="987"/>
      <c r="DXW45" s="987"/>
      <c r="DXX45" s="987"/>
      <c r="DXY45" s="987"/>
      <c r="DXZ45" s="987"/>
      <c r="DYA45" s="987"/>
      <c r="DYB45" s="987"/>
      <c r="DYC45" s="987"/>
      <c r="DYD45" s="987"/>
      <c r="DYE45" s="987"/>
      <c r="DYF45" s="987"/>
      <c r="DYG45" s="987"/>
      <c r="DYH45" s="987"/>
      <c r="DYI45" s="987"/>
      <c r="DYJ45" s="987"/>
      <c r="DYK45" s="987"/>
      <c r="DYL45" s="987"/>
      <c r="DYM45" s="987"/>
      <c r="DYN45" s="987"/>
      <c r="DYO45" s="987"/>
      <c r="DYP45" s="987"/>
      <c r="DYQ45" s="987"/>
      <c r="DYR45" s="987"/>
      <c r="DYS45" s="987"/>
      <c r="DYT45" s="987"/>
      <c r="DYU45" s="987"/>
      <c r="DYV45" s="987"/>
      <c r="DYW45" s="987"/>
      <c r="DYX45" s="987"/>
      <c r="DYY45" s="987"/>
      <c r="DYZ45" s="987"/>
      <c r="DZA45" s="987"/>
      <c r="DZB45" s="987"/>
      <c r="DZC45" s="987"/>
      <c r="DZD45" s="987"/>
      <c r="DZE45" s="987"/>
      <c r="DZF45" s="987"/>
      <c r="DZG45" s="987"/>
      <c r="DZH45" s="987"/>
      <c r="DZI45" s="987"/>
      <c r="DZJ45" s="987"/>
      <c r="DZK45" s="987"/>
      <c r="DZL45" s="987"/>
      <c r="DZM45" s="987"/>
      <c r="DZN45" s="987"/>
      <c r="DZO45" s="987"/>
      <c r="DZP45" s="987"/>
      <c r="DZQ45" s="987"/>
      <c r="DZR45" s="987"/>
      <c r="DZS45" s="987"/>
      <c r="DZT45" s="987"/>
      <c r="DZU45" s="987"/>
      <c r="DZV45" s="987"/>
      <c r="DZW45" s="987"/>
      <c r="DZX45" s="987"/>
      <c r="DZY45" s="987"/>
      <c r="DZZ45" s="987"/>
      <c r="EAA45" s="987"/>
      <c r="EAB45" s="987"/>
      <c r="EAC45" s="987"/>
      <c r="EAD45" s="987"/>
      <c r="EAE45" s="987"/>
      <c r="EAF45" s="987"/>
      <c r="EAG45" s="987"/>
      <c r="EAH45" s="987"/>
      <c r="EAI45" s="987"/>
      <c r="EAJ45" s="987"/>
      <c r="EAK45" s="987"/>
      <c r="EAL45" s="987"/>
      <c r="EAM45" s="987"/>
      <c r="EAN45" s="987"/>
      <c r="EAO45" s="987"/>
      <c r="EAP45" s="987"/>
      <c r="EAQ45" s="987"/>
      <c r="EAR45" s="987"/>
      <c r="EAS45" s="987"/>
      <c r="EAT45" s="987"/>
      <c r="EAU45" s="987"/>
      <c r="EAV45" s="987"/>
      <c r="EAW45" s="987"/>
      <c r="EAX45" s="987"/>
      <c r="EAY45" s="987"/>
      <c r="EAZ45" s="987"/>
      <c r="EBA45" s="987"/>
      <c r="EBB45" s="987"/>
      <c r="EBC45" s="987"/>
      <c r="EBD45" s="987"/>
      <c r="EBE45" s="987"/>
      <c r="EBF45" s="987"/>
      <c r="EBG45" s="987"/>
      <c r="EBH45" s="987"/>
      <c r="EBI45" s="987"/>
      <c r="EBJ45" s="987"/>
      <c r="EBK45" s="987"/>
      <c r="EBL45" s="987"/>
      <c r="EBM45" s="987"/>
      <c r="EBN45" s="987"/>
      <c r="EBO45" s="987"/>
      <c r="EBP45" s="987"/>
      <c r="EBQ45" s="987"/>
      <c r="EBR45" s="987"/>
      <c r="EBS45" s="987"/>
      <c r="EBT45" s="987"/>
      <c r="EBU45" s="987"/>
      <c r="EBV45" s="987"/>
      <c r="EBW45" s="987"/>
      <c r="EBX45" s="987"/>
      <c r="EBY45" s="987"/>
      <c r="EBZ45" s="987"/>
      <c r="ECA45" s="987"/>
      <c r="ECB45" s="987"/>
      <c r="ECC45" s="987"/>
      <c r="ECD45" s="987"/>
      <c r="ECE45" s="987"/>
      <c r="ECF45" s="987"/>
      <c r="ECG45" s="987"/>
      <c r="ECH45" s="987"/>
      <c r="ECI45" s="987"/>
      <c r="ECJ45" s="987"/>
      <c r="ECK45" s="987"/>
      <c r="ECL45" s="987"/>
      <c r="ECM45" s="987"/>
      <c r="ECN45" s="987"/>
      <c r="ECO45" s="987"/>
      <c r="ECP45" s="987"/>
      <c r="ECQ45" s="987"/>
      <c r="ECR45" s="987"/>
      <c r="ECS45" s="987"/>
      <c r="ECT45" s="987"/>
      <c r="ECU45" s="987"/>
      <c r="ECV45" s="987"/>
      <c r="ECW45" s="987"/>
      <c r="ECX45" s="987"/>
      <c r="ECY45" s="987"/>
      <c r="ECZ45" s="987"/>
      <c r="EDA45" s="987"/>
      <c r="EDB45" s="987"/>
      <c r="EDC45" s="987"/>
      <c r="EDD45" s="987"/>
      <c r="EDE45" s="987"/>
      <c r="EDF45" s="987"/>
      <c r="EDG45" s="987"/>
      <c r="EDH45" s="987"/>
      <c r="EDI45" s="987"/>
      <c r="EDJ45" s="987"/>
      <c r="EDK45" s="987"/>
      <c r="EDL45" s="987"/>
      <c r="EDM45" s="987"/>
      <c r="EDN45" s="987"/>
      <c r="EDO45" s="987"/>
      <c r="EDP45" s="987"/>
      <c r="EDQ45" s="987"/>
      <c r="EDR45" s="987"/>
      <c r="EDS45" s="987"/>
      <c r="EDT45" s="987"/>
      <c r="EDU45" s="987"/>
      <c r="EDV45" s="987"/>
      <c r="EDW45" s="987"/>
      <c r="EDX45" s="987"/>
      <c r="EDY45" s="987"/>
      <c r="EDZ45" s="987"/>
      <c r="EEA45" s="987"/>
      <c r="EEB45" s="987"/>
      <c r="EEC45" s="987"/>
      <c r="EED45" s="987"/>
      <c r="EEE45" s="987"/>
      <c r="EEF45" s="987"/>
      <c r="EEG45" s="987"/>
      <c r="EEH45" s="987"/>
      <c r="EEI45" s="987"/>
      <c r="EEJ45" s="987"/>
      <c r="EEK45" s="987"/>
      <c r="EEL45" s="987"/>
      <c r="EEM45" s="987"/>
      <c r="EEN45" s="987"/>
      <c r="EEO45" s="987"/>
      <c r="EEP45" s="987"/>
      <c r="EEQ45" s="987"/>
      <c r="EER45" s="987"/>
      <c r="EES45" s="987"/>
      <c r="EET45" s="987"/>
      <c r="EEU45" s="987"/>
      <c r="EEV45" s="987"/>
      <c r="EEW45" s="987"/>
      <c r="EEX45" s="987"/>
      <c r="EEY45" s="987"/>
      <c r="EEZ45" s="987"/>
      <c r="EFA45" s="987"/>
      <c r="EFB45" s="987"/>
      <c r="EFC45" s="987"/>
      <c r="EFD45" s="987"/>
      <c r="EFE45" s="987"/>
      <c r="EFF45" s="987"/>
      <c r="EFG45" s="987"/>
      <c r="EFH45" s="987"/>
      <c r="EFI45" s="987"/>
      <c r="EFJ45" s="987"/>
      <c r="EFK45" s="987"/>
      <c r="EFL45" s="987"/>
      <c r="EFM45" s="987"/>
      <c r="EFN45" s="987"/>
      <c r="EFO45" s="987"/>
      <c r="EFP45" s="987"/>
      <c r="EFQ45" s="987"/>
      <c r="EFR45" s="987"/>
      <c r="EFS45" s="987"/>
      <c r="EFT45" s="987"/>
      <c r="EFU45" s="987"/>
      <c r="EFV45" s="987"/>
      <c r="EFW45" s="987"/>
      <c r="EFX45" s="987"/>
      <c r="EFY45" s="987"/>
      <c r="EFZ45" s="987"/>
      <c r="EGA45" s="987"/>
      <c r="EGB45" s="987"/>
      <c r="EGC45" s="987"/>
      <c r="EGD45" s="987"/>
      <c r="EGE45" s="987"/>
      <c r="EGF45" s="987"/>
      <c r="EGG45" s="987"/>
      <c r="EGH45" s="987"/>
      <c r="EGI45" s="987"/>
      <c r="EGJ45" s="987"/>
      <c r="EGK45" s="987"/>
      <c r="EGL45" s="987"/>
      <c r="EGM45" s="987"/>
      <c r="EGN45" s="987"/>
      <c r="EGO45" s="987"/>
      <c r="EGP45" s="987"/>
      <c r="EGQ45" s="987"/>
      <c r="EGR45" s="987"/>
      <c r="EGS45" s="987"/>
      <c r="EGT45" s="987"/>
      <c r="EGU45" s="987"/>
      <c r="EGV45" s="987"/>
      <c r="EGW45" s="987"/>
      <c r="EGX45" s="987"/>
      <c r="EGY45" s="987"/>
      <c r="EGZ45" s="987"/>
      <c r="EHA45" s="987"/>
      <c r="EHB45" s="987"/>
      <c r="EHC45" s="987"/>
      <c r="EHD45" s="987"/>
      <c r="EHE45" s="987"/>
      <c r="EHF45" s="987"/>
      <c r="EHG45" s="987"/>
      <c r="EHH45" s="987"/>
      <c r="EHI45" s="987"/>
      <c r="EHJ45" s="987"/>
      <c r="EHK45" s="987"/>
      <c r="EHL45" s="987"/>
      <c r="EHM45" s="987"/>
      <c r="EHN45" s="987"/>
      <c r="EHO45" s="987"/>
      <c r="EHP45" s="987"/>
      <c r="EHQ45" s="987"/>
      <c r="EHR45" s="987"/>
      <c r="EHS45" s="987"/>
      <c r="EHT45" s="987"/>
      <c r="EHU45" s="987"/>
      <c r="EHV45" s="987"/>
      <c r="EHW45" s="987"/>
      <c r="EHX45" s="987"/>
      <c r="EHY45" s="987"/>
      <c r="EHZ45" s="987"/>
      <c r="EIA45" s="987"/>
      <c r="EIB45" s="987"/>
      <c r="EIC45" s="987"/>
      <c r="EID45" s="987"/>
      <c r="EIE45" s="987"/>
      <c r="EIF45" s="987"/>
      <c r="EIG45" s="987"/>
      <c r="EIH45" s="987"/>
      <c r="EII45" s="987"/>
      <c r="EIJ45" s="987"/>
      <c r="EIK45" s="987"/>
      <c r="EIL45" s="987"/>
      <c r="EIM45" s="987"/>
      <c r="EIN45" s="987"/>
      <c r="EIO45" s="987"/>
      <c r="EIP45" s="987"/>
      <c r="EIQ45" s="987"/>
      <c r="EIR45" s="987"/>
      <c r="EIS45" s="987"/>
      <c r="EIT45" s="987"/>
      <c r="EIU45" s="987"/>
      <c r="EIV45" s="987"/>
      <c r="EIW45" s="987"/>
      <c r="EIX45" s="987"/>
      <c r="EIY45" s="987"/>
      <c r="EIZ45" s="987"/>
      <c r="EJA45" s="987"/>
      <c r="EJB45" s="987"/>
      <c r="EJC45" s="987"/>
      <c r="EJD45" s="987"/>
      <c r="EJE45" s="987"/>
      <c r="EJF45" s="987"/>
      <c r="EJG45" s="987"/>
      <c r="EJH45" s="987"/>
      <c r="EJI45" s="987"/>
      <c r="EJJ45" s="987"/>
      <c r="EJK45" s="987"/>
      <c r="EJL45" s="987"/>
      <c r="EJM45" s="987"/>
      <c r="EJN45" s="987"/>
      <c r="EJO45" s="987"/>
      <c r="EJP45" s="987"/>
      <c r="EJQ45" s="987"/>
      <c r="EJR45" s="987"/>
      <c r="EJS45" s="987"/>
      <c r="EJT45" s="987"/>
      <c r="EJU45" s="987"/>
      <c r="EJV45" s="987"/>
      <c r="EJW45" s="987"/>
      <c r="EJX45" s="987"/>
      <c r="EJY45" s="987"/>
      <c r="EJZ45" s="987"/>
      <c r="EKA45" s="987"/>
      <c r="EKB45" s="987"/>
      <c r="EKC45" s="987"/>
      <c r="EKD45" s="987"/>
      <c r="EKE45" s="987"/>
      <c r="EKF45" s="987"/>
      <c r="EKG45" s="987"/>
      <c r="EKH45" s="987"/>
      <c r="EKI45" s="987"/>
      <c r="EKJ45" s="987"/>
      <c r="EKK45" s="987"/>
      <c r="EKL45" s="987"/>
      <c r="EKM45" s="987"/>
      <c r="EKN45" s="987"/>
      <c r="EKO45" s="987"/>
      <c r="EKP45" s="987"/>
      <c r="EKQ45" s="987"/>
      <c r="EKR45" s="987"/>
      <c r="EKS45" s="987"/>
      <c r="EKT45" s="987"/>
      <c r="EKU45" s="987"/>
      <c r="EKV45" s="987"/>
      <c r="EKW45" s="987"/>
      <c r="EKX45" s="987"/>
      <c r="EKY45" s="987"/>
      <c r="EKZ45" s="987"/>
      <c r="ELA45" s="987"/>
      <c r="ELB45" s="987"/>
      <c r="ELC45" s="987"/>
      <c r="ELD45" s="987"/>
      <c r="ELE45" s="987"/>
      <c r="ELF45" s="987"/>
      <c r="ELG45" s="987"/>
      <c r="ELH45" s="987"/>
      <c r="ELI45" s="987"/>
      <c r="ELJ45" s="987"/>
      <c r="ELK45" s="987"/>
      <c r="ELL45" s="987"/>
      <c r="ELM45" s="987"/>
      <c r="ELN45" s="987"/>
      <c r="ELO45" s="987"/>
      <c r="ELP45" s="987"/>
      <c r="ELQ45" s="987"/>
      <c r="ELR45" s="987"/>
      <c r="ELS45" s="987"/>
      <c r="ELT45" s="987"/>
      <c r="ELU45" s="987"/>
      <c r="ELV45" s="987"/>
      <c r="ELW45" s="987"/>
      <c r="ELX45" s="987"/>
      <c r="ELY45" s="987"/>
      <c r="ELZ45" s="987"/>
      <c r="EMA45" s="987"/>
      <c r="EMB45" s="987"/>
      <c r="EMC45" s="987"/>
      <c r="EMD45" s="987"/>
      <c r="EME45" s="987"/>
      <c r="EMF45" s="987"/>
      <c r="EMG45" s="987"/>
      <c r="EMH45" s="987"/>
      <c r="EMI45" s="987"/>
      <c r="EMJ45" s="987"/>
      <c r="EMK45" s="987"/>
      <c r="EML45" s="987"/>
      <c r="EMM45" s="987"/>
      <c r="EMN45" s="987"/>
      <c r="EMO45" s="987"/>
      <c r="EMP45" s="987"/>
      <c r="EMQ45" s="987"/>
      <c r="EMR45" s="987"/>
      <c r="EMS45" s="987"/>
      <c r="EMT45" s="987"/>
      <c r="EMU45" s="987"/>
      <c r="EMV45" s="987"/>
      <c r="EMW45" s="987"/>
      <c r="EMX45" s="987"/>
      <c r="EMY45" s="987"/>
      <c r="EMZ45" s="987"/>
      <c r="ENA45" s="987"/>
      <c r="ENB45" s="987"/>
      <c r="ENC45" s="987"/>
      <c r="END45" s="987"/>
      <c r="ENE45" s="987"/>
      <c r="ENF45" s="987"/>
      <c r="ENG45" s="987"/>
      <c r="ENH45" s="987"/>
      <c r="ENI45" s="987"/>
      <c r="ENJ45" s="987"/>
      <c r="ENK45" s="987"/>
      <c r="ENL45" s="987"/>
      <c r="ENM45" s="987"/>
      <c r="ENN45" s="987"/>
      <c r="ENO45" s="987"/>
      <c r="ENP45" s="987"/>
      <c r="ENQ45" s="987"/>
      <c r="ENR45" s="987"/>
      <c r="ENS45" s="987"/>
      <c r="ENT45" s="987"/>
      <c r="ENU45" s="987"/>
      <c r="ENV45" s="987"/>
      <c r="ENW45" s="987"/>
      <c r="ENX45" s="987"/>
      <c r="ENY45" s="987"/>
      <c r="ENZ45" s="987"/>
      <c r="EOA45" s="987"/>
      <c r="EOB45" s="987"/>
      <c r="EOC45" s="987"/>
      <c r="EOD45" s="987"/>
      <c r="EOE45" s="987"/>
      <c r="EOF45" s="987"/>
      <c r="EOG45" s="987"/>
      <c r="EOH45" s="987"/>
      <c r="EOI45" s="987"/>
      <c r="EOJ45" s="987"/>
      <c r="EOK45" s="987"/>
      <c r="EOL45" s="987"/>
      <c r="EOM45" s="987"/>
      <c r="EON45" s="987"/>
      <c r="EOO45" s="987"/>
      <c r="EOP45" s="987"/>
      <c r="EOQ45" s="987"/>
      <c r="EOR45" s="987"/>
      <c r="EOS45" s="987"/>
      <c r="EOT45" s="987"/>
      <c r="EOU45" s="987"/>
      <c r="EOV45" s="987"/>
      <c r="EOW45" s="987"/>
      <c r="EOX45" s="987"/>
      <c r="EOY45" s="987"/>
      <c r="EOZ45" s="987"/>
      <c r="EPA45" s="987"/>
      <c r="EPB45" s="987"/>
      <c r="EPC45" s="987"/>
      <c r="EPD45" s="987"/>
      <c r="EPE45" s="987"/>
      <c r="EPF45" s="987"/>
      <c r="EPG45" s="987"/>
      <c r="EPH45" s="987"/>
      <c r="EPI45" s="987"/>
      <c r="EPJ45" s="987"/>
      <c r="EPK45" s="987"/>
      <c r="EPL45" s="987"/>
      <c r="EPM45" s="987"/>
      <c r="EPN45" s="987"/>
      <c r="EPO45" s="987"/>
      <c r="EPP45" s="987"/>
      <c r="EPQ45" s="987"/>
      <c r="EPR45" s="987"/>
      <c r="EPS45" s="987"/>
      <c r="EPT45" s="987"/>
      <c r="EPU45" s="987"/>
      <c r="EPV45" s="987"/>
      <c r="EPW45" s="987"/>
      <c r="EPX45" s="987"/>
      <c r="EPY45" s="987"/>
      <c r="EPZ45" s="987"/>
      <c r="EQA45" s="987"/>
      <c r="EQB45" s="987"/>
      <c r="EQC45" s="987"/>
      <c r="EQD45" s="987"/>
      <c r="EQE45" s="987"/>
      <c r="EQF45" s="987"/>
      <c r="EQG45" s="987"/>
      <c r="EQH45" s="987"/>
      <c r="EQI45" s="987"/>
      <c r="EQJ45" s="987"/>
      <c r="EQK45" s="987"/>
      <c r="EQL45" s="987"/>
      <c r="EQM45" s="987"/>
      <c r="EQN45" s="987"/>
      <c r="EQO45" s="987"/>
      <c r="EQP45" s="987"/>
      <c r="EQQ45" s="987"/>
      <c r="EQR45" s="987"/>
      <c r="EQS45" s="987"/>
      <c r="EQT45" s="987"/>
      <c r="EQU45" s="987"/>
      <c r="EQV45" s="987"/>
      <c r="EQW45" s="987"/>
      <c r="EQX45" s="987"/>
      <c r="EQY45" s="987"/>
      <c r="EQZ45" s="987"/>
      <c r="ERA45" s="987"/>
      <c r="ERB45" s="987"/>
      <c r="ERC45" s="987"/>
      <c r="ERD45" s="987"/>
      <c r="ERE45" s="987"/>
      <c r="ERF45" s="987"/>
      <c r="ERG45" s="987"/>
      <c r="ERH45" s="987"/>
      <c r="ERI45" s="987"/>
      <c r="ERJ45" s="987"/>
      <c r="ERK45" s="987"/>
      <c r="ERL45" s="987"/>
      <c r="ERM45" s="987"/>
      <c r="ERN45" s="987"/>
      <c r="ERO45" s="987"/>
      <c r="ERP45" s="987"/>
      <c r="ERQ45" s="987"/>
      <c r="ERR45" s="987"/>
      <c r="ERS45" s="987"/>
      <c r="ERT45" s="987"/>
      <c r="ERU45" s="987"/>
      <c r="ERV45" s="987"/>
      <c r="ERW45" s="987"/>
      <c r="ERX45" s="987"/>
      <c r="ERY45" s="987"/>
      <c r="ERZ45" s="987"/>
      <c r="ESA45" s="987"/>
      <c r="ESB45" s="987"/>
      <c r="ESC45" s="987"/>
      <c r="ESD45" s="987"/>
      <c r="ESE45" s="987"/>
      <c r="ESF45" s="987"/>
      <c r="ESG45" s="987"/>
      <c r="ESH45" s="987"/>
      <c r="ESI45" s="987"/>
      <c r="ESJ45" s="987"/>
      <c r="ESK45" s="987"/>
      <c r="ESL45" s="987"/>
      <c r="ESM45" s="987"/>
      <c r="ESN45" s="987"/>
      <c r="ESO45" s="987"/>
      <c r="ESP45" s="987"/>
      <c r="ESQ45" s="987"/>
      <c r="ESR45" s="987"/>
      <c r="ESS45" s="987"/>
      <c r="EST45" s="987"/>
      <c r="ESU45" s="987"/>
      <c r="ESV45" s="987"/>
      <c r="ESW45" s="987"/>
      <c r="ESX45" s="987"/>
      <c r="ESY45" s="987"/>
      <c r="ESZ45" s="987"/>
      <c r="ETA45" s="987"/>
      <c r="ETB45" s="987"/>
      <c r="ETC45" s="987"/>
      <c r="ETD45" s="987"/>
      <c r="ETE45" s="987"/>
      <c r="ETF45" s="987"/>
      <c r="ETG45" s="987"/>
      <c r="ETH45" s="987"/>
      <c r="ETI45" s="987"/>
      <c r="ETJ45" s="987"/>
      <c r="ETK45" s="987"/>
      <c r="ETL45" s="987"/>
      <c r="ETM45" s="987"/>
      <c r="ETN45" s="987"/>
      <c r="ETO45" s="987"/>
      <c r="ETP45" s="987"/>
      <c r="ETQ45" s="987"/>
      <c r="ETR45" s="987"/>
      <c r="ETS45" s="987"/>
      <c r="ETT45" s="987"/>
      <c r="ETU45" s="987"/>
      <c r="ETV45" s="987"/>
      <c r="ETW45" s="987"/>
      <c r="ETX45" s="987"/>
      <c r="ETY45" s="987"/>
      <c r="ETZ45" s="987"/>
      <c r="EUA45" s="987"/>
      <c r="EUB45" s="987"/>
      <c r="EUC45" s="987"/>
      <c r="EUD45" s="987"/>
      <c r="EUE45" s="987"/>
      <c r="EUF45" s="987"/>
      <c r="EUG45" s="987"/>
      <c r="EUH45" s="987"/>
      <c r="EUI45" s="987"/>
      <c r="EUJ45" s="987"/>
      <c r="EUK45" s="987"/>
      <c r="EUL45" s="987"/>
      <c r="EUM45" s="987"/>
      <c r="EUN45" s="987"/>
      <c r="EUO45" s="987"/>
      <c r="EUP45" s="987"/>
      <c r="EUQ45" s="987"/>
      <c r="EUR45" s="987"/>
      <c r="EUS45" s="987"/>
      <c r="EUT45" s="987"/>
      <c r="EUU45" s="987"/>
      <c r="EUV45" s="987"/>
      <c r="EUW45" s="987"/>
      <c r="EUX45" s="987"/>
      <c r="EUY45" s="987"/>
      <c r="EUZ45" s="987"/>
      <c r="EVA45" s="987"/>
      <c r="EVB45" s="987"/>
      <c r="EVC45" s="987"/>
      <c r="EVD45" s="987"/>
      <c r="EVE45" s="987"/>
      <c r="EVF45" s="987"/>
      <c r="EVG45" s="987"/>
      <c r="EVH45" s="987"/>
      <c r="EVI45" s="987"/>
      <c r="EVJ45" s="987"/>
      <c r="EVK45" s="987"/>
      <c r="EVL45" s="987"/>
      <c r="EVM45" s="987"/>
      <c r="EVN45" s="987"/>
      <c r="EVO45" s="987"/>
      <c r="EVP45" s="987"/>
      <c r="EVQ45" s="987"/>
      <c r="EVR45" s="987"/>
      <c r="EVS45" s="987"/>
      <c r="EVT45" s="987"/>
      <c r="EVU45" s="987"/>
      <c r="EVV45" s="987"/>
      <c r="EVW45" s="987"/>
      <c r="EVX45" s="987"/>
      <c r="EVY45" s="987"/>
      <c r="EVZ45" s="987"/>
      <c r="EWA45" s="987"/>
      <c r="EWB45" s="987"/>
      <c r="EWC45" s="987"/>
      <c r="EWD45" s="987"/>
      <c r="EWE45" s="987"/>
      <c r="EWF45" s="987"/>
      <c r="EWG45" s="987"/>
      <c r="EWH45" s="987"/>
      <c r="EWI45" s="987"/>
      <c r="EWJ45" s="987"/>
      <c r="EWK45" s="987"/>
      <c r="EWL45" s="987"/>
      <c r="EWM45" s="987"/>
      <c r="EWN45" s="987"/>
      <c r="EWO45" s="987"/>
      <c r="EWP45" s="987"/>
      <c r="EWQ45" s="987"/>
      <c r="EWR45" s="987"/>
      <c r="EWS45" s="987"/>
      <c r="EWT45" s="987"/>
      <c r="EWU45" s="987"/>
      <c r="EWV45" s="987"/>
      <c r="EWW45" s="987"/>
      <c r="EWX45" s="987"/>
      <c r="EWY45" s="987"/>
      <c r="EWZ45" s="987"/>
      <c r="EXA45" s="987"/>
      <c r="EXB45" s="987"/>
      <c r="EXC45" s="987"/>
      <c r="EXD45" s="987"/>
      <c r="EXE45" s="987"/>
      <c r="EXF45" s="987"/>
      <c r="EXG45" s="987"/>
      <c r="EXH45" s="987"/>
      <c r="EXI45" s="987"/>
      <c r="EXJ45" s="987"/>
      <c r="EXK45" s="987"/>
      <c r="EXL45" s="987"/>
      <c r="EXM45" s="987"/>
      <c r="EXN45" s="987"/>
      <c r="EXO45" s="987"/>
      <c r="EXP45" s="987"/>
      <c r="EXQ45" s="987"/>
      <c r="EXR45" s="987"/>
      <c r="EXS45" s="987"/>
      <c r="EXT45" s="987"/>
      <c r="EXU45" s="987"/>
      <c r="EXV45" s="987"/>
      <c r="EXW45" s="987"/>
      <c r="EXX45" s="987"/>
      <c r="EXY45" s="987"/>
      <c r="EXZ45" s="987"/>
      <c r="EYA45" s="987"/>
      <c r="EYB45" s="987"/>
      <c r="EYC45" s="987"/>
      <c r="EYD45" s="987"/>
      <c r="EYE45" s="987"/>
      <c r="EYF45" s="987"/>
      <c r="EYG45" s="987"/>
      <c r="EYH45" s="987"/>
      <c r="EYI45" s="987"/>
      <c r="EYJ45" s="987"/>
      <c r="EYK45" s="987"/>
      <c r="EYL45" s="987"/>
      <c r="EYM45" s="987"/>
      <c r="EYN45" s="987"/>
      <c r="EYO45" s="987"/>
      <c r="EYP45" s="987"/>
      <c r="EYQ45" s="987"/>
      <c r="EYR45" s="987"/>
      <c r="EYS45" s="987"/>
      <c r="EYT45" s="987"/>
      <c r="EYU45" s="987"/>
      <c r="EYV45" s="987"/>
      <c r="EYW45" s="987"/>
      <c r="EYX45" s="987"/>
      <c r="EYY45" s="987"/>
      <c r="EYZ45" s="987"/>
      <c r="EZA45" s="987"/>
      <c r="EZB45" s="987"/>
      <c r="EZC45" s="987"/>
      <c r="EZD45" s="987"/>
      <c r="EZE45" s="987"/>
      <c r="EZF45" s="987"/>
      <c r="EZG45" s="987"/>
      <c r="EZH45" s="987"/>
      <c r="EZI45" s="987"/>
      <c r="EZJ45" s="987"/>
      <c r="EZK45" s="987"/>
      <c r="EZL45" s="987"/>
      <c r="EZM45" s="987"/>
      <c r="EZN45" s="987"/>
      <c r="EZO45" s="987"/>
      <c r="EZP45" s="987"/>
      <c r="EZQ45" s="987"/>
      <c r="EZR45" s="987"/>
      <c r="EZS45" s="987"/>
      <c r="EZT45" s="987"/>
      <c r="EZU45" s="987"/>
      <c r="EZV45" s="987"/>
      <c r="EZW45" s="987"/>
      <c r="EZX45" s="987"/>
      <c r="EZY45" s="987"/>
      <c r="EZZ45" s="987"/>
      <c r="FAA45" s="987"/>
      <c r="FAB45" s="987"/>
      <c r="FAC45" s="987"/>
      <c r="FAD45" s="987"/>
      <c r="FAE45" s="987"/>
      <c r="FAF45" s="987"/>
      <c r="FAG45" s="987"/>
      <c r="FAH45" s="987"/>
      <c r="FAI45" s="987"/>
      <c r="FAJ45" s="987"/>
      <c r="FAK45" s="987"/>
      <c r="FAL45" s="987"/>
      <c r="FAM45" s="987"/>
      <c r="FAN45" s="987"/>
      <c r="FAO45" s="987"/>
      <c r="FAP45" s="987"/>
      <c r="FAQ45" s="987"/>
      <c r="FAR45" s="987"/>
      <c r="FAS45" s="987"/>
      <c r="FAT45" s="987"/>
      <c r="FAU45" s="987"/>
      <c r="FAV45" s="987"/>
      <c r="FAW45" s="987"/>
      <c r="FAX45" s="987"/>
      <c r="FAY45" s="987"/>
      <c r="FAZ45" s="987"/>
      <c r="FBA45" s="987"/>
      <c r="FBB45" s="987"/>
      <c r="FBC45" s="987"/>
      <c r="FBD45" s="987"/>
      <c r="FBE45" s="987"/>
      <c r="FBF45" s="987"/>
      <c r="FBG45" s="987"/>
      <c r="FBH45" s="987"/>
      <c r="FBI45" s="987"/>
      <c r="FBJ45" s="987"/>
      <c r="FBK45" s="987"/>
      <c r="FBL45" s="987"/>
      <c r="FBM45" s="987"/>
      <c r="FBN45" s="987"/>
      <c r="FBO45" s="987"/>
      <c r="FBP45" s="987"/>
      <c r="FBQ45" s="987"/>
      <c r="FBR45" s="987"/>
      <c r="FBS45" s="987"/>
      <c r="FBT45" s="987"/>
      <c r="FBU45" s="987"/>
      <c r="FBV45" s="987"/>
      <c r="FBW45" s="987"/>
      <c r="FBX45" s="987"/>
      <c r="FBY45" s="987"/>
      <c r="FBZ45" s="987"/>
      <c r="FCA45" s="987"/>
      <c r="FCB45" s="987"/>
      <c r="FCC45" s="987"/>
      <c r="FCD45" s="987"/>
      <c r="FCE45" s="987"/>
      <c r="FCF45" s="987"/>
      <c r="FCG45" s="987"/>
      <c r="FCH45" s="987"/>
      <c r="FCI45" s="987"/>
      <c r="FCJ45" s="987"/>
      <c r="FCK45" s="987"/>
      <c r="FCL45" s="987"/>
      <c r="FCM45" s="987"/>
      <c r="FCN45" s="987"/>
      <c r="FCO45" s="987"/>
      <c r="FCP45" s="987"/>
      <c r="FCQ45" s="987"/>
      <c r="FCR45" s="987"/>
      <c r="FCS45" s="987"/>
      <c r="FCT45" s="987"/>
      <c r="FCU45" s="987"/>
      <c r="FCV45" s="987"/>
      <c r="FCW45" s="987"/>
      <c r="FCX45" s="987"/>
      <c r="FCY45" s="987"/>
      <c r="FCZ45" s="987"/>
      <c r="FDA45" s="987"/>
      <c r="FDB45" s="987"/>
      <c r="FDC45" s="987"/>
      <c r="FDD45" s="987"/>
      <c r="FDE45" s="987"/>
      <c r="FDF45" s="987"/>
      <c r="FDG45" s="987"/>
      <c r="FDH45" s="987"/>
      <c r="FDI45" s="987"/>
      <c r="FDJ45" s="987"/>
      <c r="FDK45" s="987"/>
      <c r="FDL45" s="987"/>
      <c r="FDM45" s="987"/>
      <c r="FDN45" s="987"/>
      <c r="FDO45" s="987"/>
      <c r="FDP45" s="987"/>
      <c r="FDQ45" s="987"/>
      <c r="FDR45" s="987"/>
      <c r="FDS45" s="987"/>
      <c r="FDT45" s="987"/>
      <c r="FDU45" s="987"/>
      <c r="FDV45" s="987"/>
      <c r="FDW45" s="987"/>
      <c r="FDX45" s="987"/>
      <c r="FDY45" s="987"/>
      <c r="FDZ45" s="987"/>
      <c r="FEA45" s="987"/>
      <c r="FEB45" s="987"/>
      <c r="FEC45" s="987"/>
      <c r="FED45" s="987"/>
      <c r="FEE45" s="987"/>
      <c r="FEF45" s="987"/>
      <c r="FEG45" s="987"/>
      <c r="FEH45" s="987"/>
      <c r="FEI45" s="987"/>
      <c r="FEJ45" s="987"/>
      <c r="FEK45" s="987"/>
      <c r="FEL45" s="987"/>
      <c r="FEM45" s="987"/>
      <c r="FEN45" s="987"/>
      <c r="FEO45" s="987"/>
      <c r="FEP45" s="987"/>
      <c r="FEQ45" s="987"/>
      <c r="FER45" s="987"/>
      <c r="FES45" s="987"/>
      <c r="FET45" s="987"/>
      <c r="FEU45" s="987"/>
      <c r="FEV45" s="987"/>
      <c r="FEW45" s="987"/>
      <c r="FEX45" s="987"/>
      <c r="FEY45" s="987"/>
      <c r="FEZ45" s="987"/>
      <c r="FFA45" s="987"/>
      <c r="FFB45" s="987"/>
      <c r="FFC45" s="987"/>
      <c r="FFD45" s="987"/>
      <c r="FFE45" s="987"/>
      <c r="FFF45" s="987"/>
      <c r="FFG45" s="987"/>
      <c r="FFH45" s="987"/>
      <c r="FFI45" s="987"/>
      <c r="FFJ45" s="987"/>
      <c r="FFK45" s="987"/>
      <c r="FFL45" s="987"/>
      <c r="FFM45" s="987"/>
      <c r="FFN45" s="987"/>
      <c r="FFO45" s="987"/>
      <c r="FFP45" s="987"/>
      <c r="FFQ45" s="987"/>
      <c r="FFR45" s="987"/>
      <c r="FFS45" s="987"/>
      <c r="FFT45" s="987"/>
      <c r="FFU45" s="987"/>
      <c r="FFV45" s="987"/>
      <c r="FFW45" s="987"/>
      <c r="FFX45" s="987"/>
      <c r="FFY45" s="987"/>
      <c r="FFZ45" s="987"/>
      <c r="FGA45" s="987"/>
      <c r="FGB45" s="987"/>
      <c r="FGC45" s="987"/>
      <c r="FGD45" s="987"/>
      <c r="FGE45" s="987"/>
      <c r="FGF45" s="987"/>
      <c r="FGG45" s="987"/>
      <c r="FGH45" s="987"/>
      <c r="FGI45" s="987"/>
      <c r="FGJ45" s="987"/>
      <c r="FGK45" s="987"/>
      <c r="FGL45" s="987"/>
      <c r="FGM45" s="987"/>
      <c r="FGN45" s="987"/>
      <c r="FGO45" s="987"/>
      <c r="FGP45" s="987"/>
      <c r="FGQ45" s="987"/>
      <c r="FGR45" s="987"/>
      <c r="FGS45" s="987"/>
      <c r="FGT45" s="987"/>
      <c r="FGU45" s="987"/>
      <c r="FGV45" s="987"/>
      <c r="FGW45" s="987"/>
      <c r="FGX45" s="987"/>
      <c r="FGY45" s="987"/>
      <c r="FGZ45" s="987"/>
      <c r="FHA45" s="987"/>
      <c r="FHB45" s="987"/>
      <c r="FHC45" s="987"/>
      <c r="FHD45" s="987"/>
      <c r="FHE45" s="987"/>
      <c r="FHF45" s="987"/>
      <c r="FHG45" s="987"/>
      <c r="FHH45" s="987"/>
      <c r="FHI45" s="987"/>
      <c r="FHJ45" s="987"/>
      <c r="FHK45" s="987"/>
      <c r="FHL45" s="987"/>
      <c r="FHM45" s="987"/>
      <c r="FHN45" s="987"/>
      <c r="FHO45" s="987"/>
      <c r="FHP45" s="987"/>
      <c r="FHQ45" s="987"/>
      <c r="FHR45" s="987"/>
      <c r="FHS45" s="987"/>
      <c r="FHT45" s="987"/>
      <c r="FHU45" s="987"/>
      <c r="FHV45" s="987"/>
      <c r="FHW45" s="987"/>
      <c r="FHX45" s="987"/>
      <c r="FHY45" s="987"/>
      <c r="FHZ45" s="987"/>
      <c r="FIA45" s="987"/>
      <c r="FIB45" s="987"/>
      <c r="FIC45" s="987"/>
      <c r="FID45" s="987"/>
      <c r="FIE45" s="987"/>
      <c r="FIF45" s="987"/>
      <c r="FIG45" s="987"/>
      <c r="FIH45" s="987"/>
      <c r="FII45" s="987"/>
      <c r="FIJ45" s="987"/>
      <c r="FIK45" s="987"/>
      <c r="FIL45" s="987"/>
      <c r="FIM45" s="987"/>
      <c r="FIN45" s="987"/>
      <c r="FIO45" s="987"/>
      <c r="FIP45" s="987"/>
      <c r="FIQ45" s="987"/>
      <c r="FIR45" s="987"/>
      <c r="FIS45" s="987"/>
      <c r="FIT45" s="987"/>
      <c r="FIU45" s="987"/>
      <c r="FIV45" s="987"/>
      <c r="FIW45" s="987"/>
      <c r="FIX45" s="987"/>
      <c r="FIY45" s="987"/>
      <c r="FIZ45" s="987"/>
      <c r="FJA45" s="987"/>
      <c r="FJB45" s="987"/>
      <c r="FJC45" s="987"/>
      <c r="FJD45" s="987"/>
      <c r="FJE45" s="987"/>
      <c r="FJF45" s="987"/>
      <c r="FJG45" s="987"/>
      <c r="FJH45" s="987"/>
      <c r="FJI45" s="987"/>
      <c r="FJJ45" s="987"/>
      <c r="FJK45" s="987"/>
      <c r="FJL45" s="987"/>
      <c r="FJM45" s="987"/>
      <c r="FJN45" s="987"/>
      <c r="FJO45" s="987"/>
      <c r="FJP45" s="987"/>
      <c r="FJQ45" s="987"/>
      <c r="FJR45" s="987"/>
      <c r="FJS45" s="987"/>
      <c r="FJT45" s="987"/>
      <c r="FJU45" s="987"/>
      <c r="FJV45" s="987"/>
      <c r="FJW45" s="987"/>
      <c r="FJX45" s="987"/>
      <c r="FJY45" s="987"/>
      <c r="FJZ45" s="987"/>
      <c r="FKA45" s="987"/>
      <c r="FKB45" s="987"/>
      <c r="FKC45" s="987"/>
      <c r="FKD45" s="987"/>
      <c r="FKE45" s="987"/>
      <c r="FKF45" s="987"/>
      <c r="FKG45" s="987"/>
      <c r="FKH45" s="987"/>
      <c r="FKI45" s="987"/>
      <c r="FKJ45" s="987"/>
      <c r="FKK45" s="987"/>
      <c r="FKL45" s="987"/>
      <c r="FKM45" s="987"/>
      <c r="FKN45" s="987"/>
      <c r="FKO45" s="987"/>
      <c r="FKP45" s="987"/>
      <c r="FKQ45" s="987"/>
      <c r="FKR45" s="987"/>
      <c r="FKS45" s="987"/>
      <c r="FKT45" s="987"/>
      <c r="FKU45" s="987"/>
      <c r="FKV45" s="987"/>
      <c r="FKW45" s="987"/>
      <c r="FKX45" s="987"/>
      <c r="FKY45" s="987"/>
      <c r="FKZ45" s="987"/>
      <c r="FLA45" s="987"/>
      <c r="FLB45" s="987"/>
      <c r="FLC45" s="987"/>
      <c r="FLD45" s="987"/>
      <c r="FLE45" s="987"/>
      <c r="FLF45" s="987"/>
      <c r="FLG45" s="987"/>
      <c r="FLH45" s="987"/>
      <c r="FLI45" s="987"/>
      <c r="FLJ45" s="987"/>
      <c r="FLK45" s="987"/>
      <c r="FLL45" s="987"/>
      <c r="FLM45" s="987"/>
      <c r="FLN45" s="987"/>
      <c r="FLO45" s="987"/>
      <c r="FLP45" s="987"/>
      <c r="FLQ45" s="987"/>
      <c r="FLR45" s="987"/>
      <c r="FLS45" s="987"/>
      <c r="FLT45" s="987"/>
      <c r="FLU45" s="987"/>
      <c r="FLV45" s="987"/>
      <c r="FLW45" s="987"/>
      <c r="FLX45" s="987"/>
      <c r="FLY45" s="987"/>
      <c r="FLZ45" s="987"/>
      <c r="FMA45" s="987"/>
      <c r="FMB45" s="987"/>
      <c r="FMC45" s="987"/>
      <c r="FMD45" s="987"/>
      <c r="FME45" s="987"/>
      <c r="FMF45" s="987"/>
      <c r="FMG45" s="987"/>
      <c r="FMH45" s="987"/>
      <c r="FMI45" s="987"/>
      <c r="FMJ45" s="987"/>
      <c r="FMK45" s="987"/>
      <c r="FML45" s="987"/>
      <c r="FMM45" s="987"/>
      <c r="FMN45" s="987"/>
      <c r="FMO45" s="987"/>
      <c r="FMP45" s="987"/>
      <c r="FMQ45" s="987"/>
      <c r="FMR45" s="987"/>
      <c r="FMS45" s="987"/>
      <c r="FMT45" s="987"/>
      <c r="FMU45" s="987"/>
      <c r="FMV45" s="987"/>
      <c r="FMW45" s="987"/>
      <c r="FMX45" s="987"/>
      <c r="FMY45" s="987"/>
      <c r="FMZ45" s="987"/>
      <c r="FNA45" s="987"/>
      <c r="FNB45" s="987"/>
      <c r="FNC45" s="987"/>
      <c r="FND45" s="987"/>
      <c r="FNE45" s="987"/>
      <c r="FNF45" s="987"/>
      <c r="FNG45" s="987"/>
      <c r="FNH45" s="987"/>
      <c r="FNI45" s="987"/>
      <c r="FNJ45" s="987"/>
      <c r="FNK45" s="987"/>
      <c r="FNL45" s="987"/>
      <c r="FNM45" s="987"/>
      <c r="FNN45" s="987"/>
      <c r="FNO45" s="987"/>
      <c r="FNP45" s="987"/>
      <c r="FNQ45" s="987"/>
      <c r="FNR45" s="987"/>
      <c r="FNS45" s="987"/>
      <c r="FNT45" s="987"/>
      <c r="FNU45" s="987"/>
      <c r="FNV45" s="987"/>
      <c r="FNW45" s="987"/>
      <c r="FNX45" s="987"/>
      <c r="FNY45" s="987"/>
      <c r="FNZ45" s="987"/>
      <c r="FOA45" s="987"/>
      <c r="FOB45" s="987"/>
      <c r="FOC45" s="987"/>
      <c r="FOD45" s="987"/>
      <c r="FOE45" s="987"/>
      <c r="FOF45" s="987"/>
      <c r="FOG45" s="987"/>
      <c r="FOH45" s="987"/>
      <c r="FOI45" s="987"/>
      <c r="FOJ45" s="987"/>
      <c r="FOK45" s="987"/>
      <c r="FOL45" s="987"/>
      <c r="FOM45" s="987"/>
      <c r="FON45" s="987"/>
      <c r="FOO45" s="987"/>
      <c r="FOP45" s="987"/>
      <c r="FOQ45" s="987"/>
      <c r="FOR45" s="987"/>
      <c r="FOS45" s="987"/>
      <c r="FOT45" s="987"/>
      <c r="FOU45" s="987"/>
      <c r="FOV45" s="987"/>
      <c r="FOW45" s="987"/>
      <c r="FOX45" s="987"/>
      <c r="FOY45" s="987"/>
      <c r="FOZ45" s="987"/>
      <c r="FPA45" s="987"/>
      <c r="FPB45" s="987"/>
      <c r="FPC45" s="987"/>
      <c r="FPD45" s="987"/>
      <c r="FPE45" s="987"/>
      <c r="FPF45" s="987"/>
      <c r="FPG45" s="987"/>
      <c r="FPH45" s="987"/>
      <c r="FPI45" s="987"/>
      <c r="FPJ45" s="987"/>
      <c r="FPK45" s="987"/>
      <c r="FPL45" s="987"/>
      <c r="FPM45" s="987"/>
      <c r="FPN45" s="987"/>
      <c r="FPO45" s="987"/>
      <c r="FPP45" s="987"/>
      <c r="FPQ45" s="987"/>
      <c r="FPR45" s="987"/>
      <c r="FPS45" s="987"/>
      <c r="FPT45" s="987"/>
      <c r="FPU45" s="987"/>
      <c r="FPV45" s="987"/>
      <c r="FPW45" s="987"/>
      <c r="FPX45" s="987"/>
      <c r="FPY45" s="987"/>
      <c r="FPZ45" s="987"/>
      <c r="FQA45" s="987"/>
      <c r="FQB45" s="987"/>
      <c r="FQC45" s="987"/>
      <c r="FQD45" s="987"/>
      <c r="FQE45" s="987"/>
      <c r="FQF45" s="987"/>
      <c r="FQG45" s="987"/>
      <c r="FQH45" s="987"/>
      <c r="FQI45" s="987"/>
      <c r="FQJ45" s="987"/>
      <c r="FQK45" s="987"/>
      <c r="FQL45" s="987"/>
      <c r="FQM45" s="987"/>
      <c r="FQN45" s="987"/>
      <c r="FQO45" s="987"/>
      <c r="FQP45" s="987"/>
      <c r="FQQ45" s="987"/>
      <c r="FQR45" s="987"/>
      <c r="FQS45" s="987"/>
      <c r="FQT45" s="987"/>
      <c r="FQU45" s="987"/>
      <c r="FQV45" s="987"/>
      <c r="FQW45" s="987"/>
      <c r="FQX45" s="987"/>
      <c r="FQY45" s="987"/>
      <c r="FQZ45" s="987"/>
      <c r="FRA45" s="987"/>
      <c r="FRB45" s="987"/>
      <c r="FRC45" s="987"/>
      <c r="FRD45" s="987"/>
      <c r="FRE45" s="987"/>
      <c r="FRF45" s="987"/>
      <c r="FRG45" s="987"/>
      <c r="FRH45" s="987"/>
      <c r="FRI45" s="987"/>
      <c r="FRJ45" s="987"/>
      <c r="FRK45" s="987"/>
      <c r="FRL45" s="987"/>
      <c r="FRM45" s="987"/>
      <c r="FRN45" s="987"/>
      <c r="FRO45" s="987"/>
      <c r="FRP45" s="987"/>
      <c r="FRQ45" s="987"/>
      <c r="FRR45" s="987"/>
      <c r="FRS45" s="987"/>
      <c r="FRT45" s="987"/>
      <c r="FRU45" s="987"/>
      <c r="FRV45" s="987"/>
      <c r="FRW45" s="987"/>
      <c r="FRX45" s="987"/>
      <c r="FRY45" s="987"/>
      <c r="FRZ45" s="987"/>
      <c r="FSA45" s="987"/>
      <c r="FSB45" s="987"/>
      <c r="FSC45" s="987"/>
      <c r="FSD45" s="987"/>
      <c r="FSE45" s="987"/>
      <c r="FSF45" s="987"/>
      <c r="FSG45" s="987"/>
      <c r="FSH45" s="987"/>
      <c r="FSI45" s="987"/>
      <c r="FSJ45" s="987"/>
      <c r="FSK45" s="987"/>
      <c r="FSL45" s="987"/>
      <c r="FSM45" s="987"/>
      <c r="FSN45" s="987"/>
      <c r="FSO45" s="987"/>
      <c r="FSP45" s="987"/>
      <c r="FSQ45" s="987"/>
      <c r="FSR45" s="987"/>
      <c r="FSS45" s="987"/>
      <c r="FST45" s="987"/>
      <c r="FSU45" s="987"/>
      <c r="FSV45" s="987"/>
      <c r="FSW45" s="987"/>
      <c r="FSX45" s="987"/>
      <c r="FSY45" s="987"/>
      <c r="FSZ45" s="987"/>
      <c r="FTA45" s="987"/>
      <c r="FTB45" s="987"/>
      <c r="FTC45" s="987"/>
      <c r="FTD45" s="987"/>
      <c r="FTE45" s="987"/>
      <c r="FTF45" s="987"/>
      <c r="FTG45" s="987"/>
      <c r="FTH45" s="987"/>
      <c r="FTI45" s="987"/>
      <c r="FTJ45" s="987"/>
      <c r="FTK45" s="987"/>
      <c r="FTL45" s="987"/>
      <c r="FTM45" s="987"/>
      <c r="FTN45" s="987"/>
      <c r="FTO45" s="987"/>
      <c r="FTP45" s="987"/>
      <c r="FTQ45" s="987"/>
      <c r="FTR45" s="987"/>
      <c r="FTS45" s="987"/>
      <c r="FTT45" s="987"/>
      <c r="FTU45" s="987"/>
      <c r="FTV45" s="987"/>
      <c r="FTW45" s="987"/>
      <c r="FTX45" s="987"/>
      <c r="FTY45" s="987"/>
      <c r="FTZ45" s="987"/>
      <c r="FUA45" s="987"/>
      <c r="FUB45" s="987"/>
      <c r="FUC45" s="987"/>
      <c r="FUD45" s="987"/>
      <c r="FUE45" s="987"/>
      <c r="FUF45" s="987"/>
      <c r="FUG45" s="987"/>
      <c r="FUH45" s="987"/>
      <c r="FUI45" s="987"/>
      <c r="FUJ45" s="987"/>
      <c r="FUK45" s="987"/>
      <c r="FUL45" s="987"/>
      <c r="FUM45" s="987"/>
      <c r="FUN45" s="987"/>
      <c r="FUO45" s="987"/>
      <c r="FUP45" s="987"/>
      <c r="FUQ45" s="987"/>
      <c r="FUR45" s="987"/>
      <c r="FUS45" s="987"/>
      <c r="FUT45" s="987"/>
      <c r="FUU45" s="987"/>
      <c r="FUV45" s="987"/>
      <c r="FUW45" s="987"/>
      <c r="FUX45" s="987"/>
      <c r="FUY45" s="987"/>
      <c r="FUZ45" s="987"/>
      <c r="FVA45" s="987"/>
      <c r="FVB45" s="987"/>
      <c r="FVC45" s="987"/>
      <c r="FVD45" s="987"/>
      <c r="FVE45" s="987"/>
      <c r="FVF45" s="987"/>
      <c r="FVG45" s="987"/>
      <c r="FVH45" s="987"/>
      <c r="FVI45" s="987"/>
      <c r="FVJ45" s="987"/>
      <c r="FVK45" s="987"/>
      <c r="FVL45" s="987"/>
      <c r="FVM45" s="987"/>
      <c r="FVN45" s="987"/>
      <c r="FVO45" s="987"/>
      <c r="FVP45" s="987"/>
      <c r="FVQ45" s="987"/>
      <c r="FVR45" s="987"/>
      <c r="FVS45" s="987"/>
      <c r="FVT45" s="987"/>
      <c r="FVU45" s="987"/>
      <c r="FVV45" s="987"/>
      <c r="FVW45" s="987"/>
      <c r="FVX45" s="987"/>
      <c r="FVY45" s="987"/>
      <c r="FVZ45" s="987"/>
      <c r="FWA45" s="987"/>
      <c r="FWB45" s="987"/>
      <c r="FWC45" s="987"/>
      <c r="FWD45" s="987"/>
      <c r="FWE45" s="987"/>
      <c r="FWF45" s="987"/>
      <c r="FWG45" s="987"/>
      <c r="FWH45" s="987"/>
      <c r="FWI45" s="987"/>
      <c r="FWJ45" s="987"/>
      <c r="FWK45" s="987"/>
      <c r="FWL45" s="987"/>
      <c r="FWM45" s="987"/>
      <c r="FWN45" s="987"/>
      <c r="FWO45" s="987"/>
      <c r="FWP45" s="987"/>
      <c r="FWQ45" s="987"/>
      <c r="FWR45" s="987"/>
      <c r="FWS45" s="987"/>
      <c r="FWT45" s="987"/>
      <c r="FWU45" s="987"/>
      <c r="FWV45" s="987"/>
      <c r="FWW45" s="987"/>
      <c r="FWX45" s="987"/>
      <c r="FWY45" s="987"/>
      <c r="FWZ45" s="987"/>
      <c r="FXA45" s="987"/>
      <c r="FXB45" s="987"/>
      <c r="FXC45" s="987"/>
      <c r="FXD45" s="987"/>
      <c r="FXE45" s="987"/>
      <c r="FXF45" s="987"/>
      <c r="FXG45" s="987"/>
      <c r="FXH45" s="987"/>
      <c r="FXI45" s="987"/>
      <c r="FXJ45" s="987"/>
      <c r="FXK45" s="987"/>
      <c r="FXL45" s="987"/>
      <c r="FXM45" s="987"/>
      <c r="FXN45" s="987"/>
      <c r="FXO45" s="987"/>
      <c r="FXP45" s="987"/>
      <c r="FXQ45" s="987"/>
      <c r="FXR45" s="987"/>
      <c r="FXS45" s="987"/>
      <c r="FXT45" s="987"/>
      <c r="FXU45" s="987"/>
      <c r="FXV45" s="987"/>
      <c r="FXW45" s="987"/>
      <c r="FXX45" s="987"/>
      <c r="FXY45" s="987"/>
      <c r="FXZ45" s="987"/>
      <c r="FYA45" s="987"/>
      <c r="FYB45" s="987"/>
      <c r="FYC45" s="987"/>
      <c r="FYD45" s="987"/>
      <c r="FYE45" s="987"/>
      <c r="FYF45" s="987"/>
      <c r="FYG45" s="987"/>
      <c r="FYH45" s="987"/>
      <c r="FYI45" s="987"/>
      <c r="FYJ45" s="987"/>
      <c r="FYK45" s="987"/>
      <c r="FYL45" s="987"/>
      <c r="FYM45" s="987"/>
      <c r="FYN45" s="987"/>
      <c r="FYO45" s="987"/>
      <c r="FYP45" s="987"/>
      <c r="FYQ45" s="987"/>
      <c r="FYR45" s="987"/>
      <c r="FYS45" s="987"/>
      <c r="FYT45" s="987"/>
      <c r="FYU45" s="987"/>
      <c r="FYV45" s="987"/>
      <c r="FYW45" s="987"/>
      <c r="FYX45" s="987"/>
      <c r="FYY45" s="987"/>
      <c r="FYZ45" s="987"/>
      <c r="FZA45" s="987"/>
      <c r="FZB45" s="987"/>
      <c r="FZC45" s="987"/>
      <c r="FZD45" s="987"/>
      <c r="FZE45" s="987"/>
      <c r="FZF45" s="987"/>
      <c r="FZG45" s="987"/>
      <c r="FZH45" s="987"/>
      <c r="FZI45" s="987"/>
      <c r="FZJ45" s="987"/>
      <c r="FZK45" s="987"/>
      <c r="FZL45" s="987"/>
      <c r="FZM45" s="987"/>
      <c r="FZN45" s="987"/>
      <c r="FZO45" s="987"/>
      <c r="FZP45" s="987"/>
      <c r="FZQ45" s="987"/>
      <c r="FZR45" s="987"/>
      <c r="FZS45" s="987"/>
      <c r="FZT45" s="987"/>
      <c r="FZU45" s="987"/>
      <c r="FZV45" s="987"/>
      <c r="FZW45" s="987"/>
      <c r="FZX45" s="987"/>
      <c r="FZY45" s="987"/>
      <c r="FZZ45" s="987"/>
      <c r="GAA45" s="987"/>
      <c r="GAB45" s="987"/>
      <c r="GAC45" s="987"/>
      <c r="GAD45" s="987"/>
      <c r="GAE45" s="987"/>
      <c r="GAF45" s="987"/>
      <c r="GAG45" s="987"/>
      <c r="GAH45" s="987"/>
      <c r="GAI45" s="987"/>
      <c r="GAJ45" s="987"/>
      <c r="GAK45" s="987"/>
      <c r="GAL45" s="987"/>
      <c r="GAM45" s="987"/>
      <c r="GAN45" s="987"/>
      <c r="GAO45" s="987"/>
      <c r="GAP45" s="987"/>
      <c r="GAQ45" s="987"/>
      <c r="GAR45" s="987"/>
      <c r="GAS45" s="987"/>
      <c r="GAT45" s="987"/>
      <c r="GAU45" s="987"/>
      <c r="GAV45" s="987"/>
      <c r="GAW45" s="987"/>
      <c r="GAX45" s="987"/>
      <c r="GAY45" s="987"/>
      <c r="GAZ45" s="987"/>
      <c r="GBA45" s="987"/>
      <c r="GBB45" s="987"/>
      <c r="GBC45" s="987"/>
      <c r="GBD45" s="987"/>
      <c r="GBE45" s="987"/>
      <c r="GBF45" s="987"/>
      <c r="GBG45" s="987"/>
      <c r="GBH45" s="987"/>
      <c r="GBI45" s="987"/>
      <c r="GBJ45" s="987"/>
      <c r="GBK45" s="987"/>
      <c r="GBL45" s="987"/>
      <c r="GBM45" s="987"/>
      <c r="GBN45" s="987"/>
      <c r="GBO45" s="987"/>
      <c r="GBP45" s="987"/>
      <c r="GBQ45" s="987"/>
      <c r="GBR45" s="987"/>
      <c r="GBS45" s="987"/>
      <c r="GBT45" s="987"/>
      <c r="GBU45" s="987"/>
      <c r="GBV45" s="987"/>
      <c r="GBW45" s="987"/>
      <c r="GBX45" s="987"/>
      <c r="GBY45" s="987"/>
      <c r="GBZ45" s="987"/>
      <c r="GCA45" s="987"/>
      <c r="GCB45" s="987"/>
      <c r="GCC45" s="987"/>
      <c r="GCD45" s="987"/>
      <c r="GCE45" s="987"/>
      <c r="GCF45" s="987"/>
      <c r="GCG45" s="987"/>
      <c r="GCH45" s="987"/>
      <c r="GCI45" s="987"/>
      <c r="GCJ45" s="987"/>
      <c r="GCK45" s="987"/>
      <c r="GCL45" s="987"/>
      <c r="GCM45" s="987"/>
      <c r="GCN45" s="987"/>
      <c r="GCO45" s="987"/>
      <c r="GCP45" s="987"/>
      <c r="GCQ45" s="987"/>
      <c r="GCR45" s="987"/>
      <c r="GCS45" s="987"/>
      <c r="GCT45" s="987"/>
      <c r="GCU45" s="987"/>
      <c r="GCV45" s="987"/>
      <c r="GCW45" s="987"/>
      <c r="GCX45" s="987"/>
      <c r="GCY45" s="987"/>
      <c r="GCZ45" s="987"/>
      <c r="GDA45" s="987"/>
      <c r="GDB45" s="987"/>
      <c r="GDC45" s="987"/>
      <c r="GDD45" s="987"/>
      <c r="GDE45" s="987"/>
      <c r="GDF45" s="987"/>
      <c r="GDG45" s="987"/>
      <c r="GDH45" s="987"/>
      <c r="GDI45" s="987"/>
      <c r="GDJ45" s="987"/>
      <c r="GDK45" s="987"/>
      <c r="GDL45" s="987"/>
      <c r="GDM45" s="987"/>
      <c r="GDN45" s="987"/>
      <c r="GDO45" s="987"/>
      <c r="GDP45" s="987"/>
      <c r="GDQ45" s="987"/>
      <c r="GDR45" s="987"/>
      <c r="GDS45" s="987"/>
      <c r="GDT45" s="987"/>
      <c r="GDU45" s="987"/>
      <c r="GDV45" s="987"/>
      <c r="GDW45" s="987"/>
      <c r="GDX45" s="987"/>
      <c r="GDY45" s="987"/>
      <c r="GDZ45" s="987"/>
      <c r="GEA45" s="987"/>
      <c r="GEB45" s="987"/>
      <c r="GEC45" s="987"/>
      <c r="GED45" s="987"/>
      <c r="GEE45" s="987"/>
      <c r="GEF45" s="987"/>
      <c r="GEG45" s="987"/>
      <c r="GEH45" s="987"/>
      <c r="GEI45" s="987"/>
      <c r="GEJ45" s="987"/>
      <c r="GEK45" s="987"/>
      <c r="GEL45" s="987"/>
      <c r="GEM45" s="987"/>
      <c r="GEN45" s="987"/>
      <c r="GEO45" s="987"/>
      <c r="GEP45" s="987"/>
      <c r="GEQ45" s="987"/>
      <c r="GER45" s="987"/>
      <c r="GES45" s="987"/>
      <c r="GET45" s="987"/>
      <c r="GEU45" s="987"/>
      <c r="GEV45" s="987"/>
      <c r="GEW45" s="987"/>
      <c r="GEX45" s="987"/>
      <c r="GEY45" s="987"/>
      <c r="GEZ45" s="987"/>
      <c r="GFA45" s="987"/>
      <c r="GFB45" s="987"/>
      <c r="GFC45" s="987"/>
      <c r="GFD45" s="987"/>
      <c r="GFE45" s="987"/>
      <c r="GFF45" s="987"/>
      <c r="GFG45" s="987"/>
      <c r="GFH45" s="987"/>
      <c r="GFI45" s="987"/>
      <c r="GFJ45" s="987"/>
      <c r="GFK45" s="987"/>
      <c r="GFL45" s="987"/>
      <c r="GFM45" s="987"/>
      <c r="GFN45" s="987"/>
      <c r="GFO45" s="987"/>
      <c r="GFP45" s="987"/>
      <c r="GFQ45" s="987"/>
      <c r="GFR45" s="987"/>
      <c r="GFS45" s="987"/>
      <c r="GFT45" s="987"/>
      <c r="GFU45" s="987"/>
      <c r="GFV45" s="987"/>
      <c r="GFW45" s="987"/>
      <c r="GFX45" s="987"/>
      <c r="GFY45" s="987"/>
      <c r="GFZ45" s="987"/>
      <c r="GGA45" s="987"/>
      <c r="GGB45" s="987"/>
      <c r="GGC45" s="987"/>
      <c r="GGD45" s="987"/>
      <c r="GGE45" s="987"/>
      <c r="GGF45" s="987"/>
      <c r="GGG45" s="987"/>
      <c r="GGH45" s="987"/>
      <c r="GGI45" s="987"/>
      <c r="GGJ45" s="987"/>
      <c r="GGK45" s="987"/>
      <c r="GGL45" s="987"/>
      <c r="GGM45" s="987"/>
      <c r="GGN45" s="987"/>
      <c r="GGO45" s="987"/>
      <c r="GGP45" s="987"/>
      <c r="GGQ45" s="987"/>
      <c r="GGR45" s="987"/>
      <c r="GGS45" s="987"/>
      <c r="GGT45" s="987"/>
      <c r="GGU45" s="987"/>
      <c r="GGV45" s="987"/>
      <c r="GGW45" s="987"/>
      <c r="GGX45" s="987"/>
      <c r="GGY45" s="987"/>
      <c r="GGZ45" s="987"/>
      <c r="GHA45" s="987"/>
      <c r="GHB45" s="987"/>
      <c r="GHC45" s="987"/>
      <c r="GHD45" s="987"/>
      <c r="GHE45" s="987"/>
      <c r="GHF45" s="987"/>
      <c r="GHG45" s="987"/>
      <c r="GHH45" s="987"/>
      <c r="GHI45" s="987"/>
      <c r="GHJ45" s="987"/>
      <c r="GHK45" s="987"/>
      <c r="GHL45" s="987"/>
      <c r="GHM45" s="987"/>
      <c r="GHN45" s="987"/>
      <c r="GHO45" s="987"/>
      <c r="GHP45" s="987"/>
      <c r="GHQ45" s="987"/>
      <c r="GHR45" s="987"/>
      <c r="GHS45" s="987"/>
      <c r="GHT45" s="987"/>
      <c r="GHU45" s="987"/>
      <c r="GHV45" s="987"/>
      <c r="GHW45" s="987"/>
      <c r="GHX45" s="987"/>
      <c r="GHY45" s="987"/>
      <c r="GHZ45" s="987"/>
      <c r="GIA45" s="987"/>
      <c r="GIB45" s="987"/>
      <c r="GIC45" s="987"/>
      <c r="GID45" s="987"/>
      <c r="GIE45" s="987"/>
      <c r="GIF45" s="987"/>
      <c r="GIG45" s="987"/>
      <c r="GIH45" s="987"/>
      <c r="GII45" s="987"/>
      <c r="GIJ45" s="987"/>
      <c r="GIK45" s="987"/>
      <c r="GIL45" s="987"/>
      <c r="GIM45" s="987"/>
      <c r="GIN45" s="987"/>
      <c r="GIO45" s="987"/>
      <c r="GIP45" s="987"/>
      <c r="GIQ45" s="987"/>
      <c r="GIR45" s="987"/>
      <c r="GIS45" s="987"/>
      <c r="GIT45" s="987"/>
      <c r="GIU45" s="987"/>
      <c r="GIV45" s="987"/>
      <c r="GIW45" s="987"/>
      <c r="GIX45" s="987"/>
      <c r="GIY45" s="987"/>
      <c r="GIZ45" s="987"/>
      <c r="GJA45" s="987"/>
      <c r="GJB45" s="987"/>
      <c r="GJC45" s="987"/>
      <c r="GJD45" s="987"/>
      <c r="GJE45" s="987"/>
      <c r="GJF45" s="987"/>
      <c r="GJG45" s="987"/>
      <c r="GJH45" s="987"/>
      <c r="GJI45" s="987"/>
      <c r="GJJ45" s="987"/>
      <c r="GJK45" s="987"/>
      <c r="GJL45" s="987"/>
      <c r="GJM45" s="987"/>
      <c r="GJN45" s="987"/>
      <c r="GJO45" s="987"/>
      <c r="GJP45" s="987"/>
      <c r="GJQ45" s="987"/>
      <c r="GJR45" s="987"/>
      <c r="GJS45" s="987"/>
      <c r="GJT45" s="987"/>
      <c r="GJU45" s="987"/>
      <c r="GJV45" s="987"/>
      <c r="GJW45" s="987"/>
      <c r="GJX45" s="987"/>
      <c r="GJY45" s="987"/>
      <c r="GJZ45" s="987"/>
      <c r="GKA45" s="987"/>
      <c r="GKB45" s="987"/>
      <c r="GKC45" s="987"/>
      <c r="GKD45" s="987"/>
      <c r="GKE45" s="987"/>
      <c r="GKF45" s="987"/>
      <c r="GKG45" s="987"/>
      <c r="GKH45" s="987"/>
      <c r="GKI45" s="987"/>
      <c r="GKJ45" s="987"/>
      <c r="GKK45" s="987"/>
      <c r="GKL45" s="987"/>
      <c r="GKM45" s="987"/>
      <c r="GKN45" s="987"/>
      <c r="GKO45" s="987"/>
      <c r="GKP45" s="987"/>
      <c r="GKQ45" s="987"/>
      <c r="GKR45" s="987"/>
      <c r="GKS45" s="987"/>
      <c r="GKT45" s="987"/>
      <c r="GKU45" s="987"/>
      <c r="GKV45" s="987"/>
      <c r="GKW45" s="987"/>
      <c r="GKX45" s="987"/>
      <c r="GKY45" s="987"/>
      <c r="GKZ45" s="987"/>
      <c r="GLA45" s="987"/>
      <c r="GLB45" s="987"/>
      <c r="GLC45" s="987"/>
      <c r="GLD45" s="987"/>
      <c r="GLE45" s="987"/>
      <c r="GLF45" s="987"/>
      <c r="GLG45" s="987"/>
      <c r="GLH45" s="987"/>
      <c r="GLI45" s="987"/>
      <c r="GLJ45" s="987"/>
      <c r="GLK45" s="987"/>
      <c r="GLL45" s="987"/>
      <c r="GLM45" s="987"/>
      <c r="GLN45" s="987"/>
      <c r="GLO45" s="987"/>
      <c r="GLP45" s="987"/>
      <c r="GLQ45" s="987"/>
      <c r="GLR45" s="987"/>
      <c r="GLS45" s="987"/>
      <c r="GLT45" s="987"/>
      <c r="GLU45" s="987"/>
      <c r="GLV45" s="987"/>
      <c r="GLW45" s="987"/>
      <c r="GLX45" s="987"/>
      <c r="GLY45" s="987"/>
      <c r="GLZ45" s="987"/>
      <c r="GMA45" s="987"/>
      <c r="GMB45" s="987"/>
      <c r="GMC45" s="987"/>
      <c r="GMD45" s="987"/>
      <c r="GME45" s="987"/>
      <c r="GMF45" s="987"/>
      <c r="GMG45" s="987"/>
      <c r="GMH45" s="987"/>
      <c r="GMI45" s="987"/>
      <c r="GMJ45" s="987"/>
      <c r="GMK45" s="987"/>
      <c r="GML45" s="987"/>
      <c r="GMM45" s="987"/>
      <c r="GMN45" s="987"/>
      <c r="GMO45" s="987"/>
      <c r="GMP45" s="987"/>
      <c r="GMQ45" s="987"/>
      <c r="GMR45" s="987"/>
      <c r="GMS45" s="987"/>
      <c r="GMT45" s="987"/>
      <c r="GMU45" s="987"/>
      <c r="GMV45" s="987"/>
      <c r="GMW45" s="987"/>
      <c r="GMX45" s="987"/>
      <c r="GMY45" s="987"/>
      <c r="GMZ45" s="987"/>
      <c r="GNA45" s="987"/>
      <c r="GNB45" s="987"/>
      <c r="GNC45" s="987"/>
      <c r="GND45" s="987"/>
      <c r="GNE45" s="987"/>
      <c r="GNF45" s="987"/>
      <c r="GNG45" s="987"/>
      <c r="GNH45" s="987"/>
      <c r="GNI45" s="987"/>
      <c r="GNJ45" s="987"/>
      <c r="GNK45" s="987"/>
      <c r="GNL45" s="987"/>
      <c r="GNM45" s="987"/>
      <c r="GNN45" s="987"/>
      <c r="GNO45" s="987"/>
      <c r="GNP45" s="987"/>
      <c r="GNQ45" s="987"/>
      <c r="GNR45" s="987"/>
      <c r="GNS45" s="987"/>
      <c r="GNT45" s="987"/>
      <c r="GNU45" s="987"/>
      <c r="GNV45" s="987"/>
      <c r="GNW45" s="987"/>
      <c r="GNX45" s="987"/>
      <c r="GNY45" s="987"/>
      <c r="GNZ45" s="987"/>
      <c r="GOA45" s="987"/>
      <c r="GOB45" s="987"/>
      <c r="GOC45" s="987"/>
      <c r="GOD45" s="987"/>
      <c r="GOE45" s="987"/>
      <c r="GOF45" s="987"/>
      <c r="GOG45" s="987"/>
      <c r="GOH45" s="987"/>
      <c r="GOI45" s="987"/>
      <c r="GOJ45" s="987"/>
      <c r="GOK45" s="987"/>
      <c r="GOL45" s="987"/>
      <c r="GOM45" s="987"/>
      <c r="GON45" s="987"/>
      <c r="GOO45" s="987"/>
      <c r="GOP45" s="987"/>
      <c r="GOQ45" s="987"/>
      <c r="GOR45" s="987"/>
      <c r="GOS45" s="987"/>
      <c r="GOT45" s="987"/>
      <c r="GOU45" s="987"/>
      <c r="GOV45" s="987"/>
      <c r="GOW45" s="987"/>
      <c r="GOX45" s="987"/>
      <c r="GOY45" s="987"/>
      <c r="GOZ45" s="987"/>
      <c r="GPA45" s="987"/>
      <c r="GPB45" s="987"/>
      <c r="GPC45" s="987"/>
      <c r="GPD45" s="987"/>
      <c r="GPE45" s="987"/>
      <c r="GPF45" s="987"/>
      <c r="GPG45" s="987"/>
      <c r="GPH45" s="987"/>
      <c r="GPI45" s="987"/>
      <c r="GPJ45" s="987"/>
      <c r="GPK45" s="987"/>
      <c r="GPL45" s="987"/>
      <c r="GPM45" s="987"/>
      <c r="GPN45" s="987"/>
      <c r="GPO45" s="987"/>
      <c r="GPP45" s="987"/>
      <c r="GPQ45" s="987"/>
      <c r="GPR45" s="987"/>
      <c r="GPS45" s="987"/>
      <c r="GPT45" s="987"/>
      <c r="GPU45" s="987"/>
      <c r="GPV45" s="987"/>
      <c r="GPW45" s="987"/>
      <c r="GPX45" s="987"/>
      <c r="GPY45" s="987"/>
      <c r="GPZ45" s="987"/>
      <c r="GQA45" s="987"/>
      <c r="GQB45" s="987"/>
      <c r="GQC45" s="987"/>
      <c r="GQD45" s="987"/>
      <c r="GQE45" s="987"/>
      <c r="GQF45" s="987"/>
      <c r="GQG45" s="987"/>
      <c r="GQH45" s="987"/>
      <c r="GQI45" s="987"/>
      <c r="GQJ45" s="987"/>
      <c r="GQK45" s="987"/>
      <c r="GQL45" s="987"/>
      <c r="GQM45" s="987"/>
      <c r="GQN45" s="987"/>
      <c r="GQO45" s="987"/>
      <c r="GQP45" s="987"/>
      <c r="GQQ45" s="987"/>
      <c r="GQR45" s="987"/>
      <c r="GQS45" s="987"/>
      <c r="GQT45" s="987"/>
      <c r="GQU45" s="987"/>
      <c r="GQV45" s="987"/>
      <c r="GQW45" s="987"/>
      <c r="GQX45" s="987"/>
      <c r="GQY45" s="987"/>
      <c r="GQZ45" s="987"/>
      <c r="GRA45" s="987"/>
      <c r="GRB45" s="987"/>
      <c r="GRC45" s="987"/>
      <c r="GRD45" s="987"/>
      <c r="GRE45" s="987"/>
      <c r="GRF45" s="987"/>
      <c r="GRG45" s="987"/>
      <c r="GRH45" s="987"/>
      <c r="GRI45" s="987"/>
      <c r="GRJ45" s="987"/>
      <c r="GRK45" s="987"/>
      <c r="GRL45" s="987"/>
      <c r="GRM45" s="987"/>
      <c r="GRN45" s="987"/>
      <c r="GRO45" s="987"/>
      <c r="GRP45" s="987"/>
      <c r="GRQ45" s="987"/>
      <c r="GRR45" s="987"/>
      <c r="GRS45" s="987"/>
      <c r="GRT45" s="987"/>
      <c r="GRU45" s="987"/>
      <c r="GRV45" s="987"/>
      <c r="GRW45" s="987"/>
      <c r="GRX45" s="987"/>
      <c r="GRY45" s="987"/>
      <c r="GRZ45" s="987"/>
      <c r="GSA45" s="987"/>
      <c r="GSB45" s="987"/>
      <c r="GSC45" s="987"/>
      <c r="GSD45" s="987"/>
      <c r="GSE45" s="987"/>
      <c r="GSF45" s="987"/>
      <c r="GSG45" s="987"/>
      <c r="GSH45" s="987"/>
      <c r="GSI45" s="987"/>
      <c r="GSJ45" s="987"/>
      <c r="GSK45" s="987"/>
      <c r="GSL45" s="987"/>
      <c r="GSM45" s="987"/>
      <c r="GSN45" s="987"/>
      <c r="GSO45" s="987"/>
      <c r="GSP45" s="987"/>
      <c r="GSQ45" s="987"/>
      <c r="GSR45" s="987"/>
      <c r="GSS45" s="987"/>
      <c r="GST45" s="987"/>
      <c r="GSU45" s="987"/>
      <c r="GSV45" s="987"/>
      <c r="GSW45" s="987"/>
      <c r="GSX45" s="987"/>
      <c r="GSY45" s="987"/>
      <c r="GSZ45" s="987"/>
      <c r="GTA45" s="987"/>
      <c r="GTB45" s="987"/>
      <c r="GTC45" s="987"/>
      <c r="GTD45" s="987"/>
      <c r="GTE45" s="987"/>
      <c r="GTF45" s="987"/>
      <c r="GTG45" s="987"/>
      <c r="GTH45" s="987"/>
      <c r="GTI45" s="987"/>
      <c r="GTJ45" s="987"/>
      <c r="GTK45" s="987"/>
      <c r="GTL45" s="987"/>
      <c r="GTM45" s="987"/>
      <c r="GTN45" s="987"/>
      <c r="GTO45" s="987"/>
      <c r="GTP45" s="987"/>
      <c r="GTQ45" s="987"/>
      <c r="GTR45" s="987"/>
      <c r="GTS45" s="987"/>
      <c r="GTT45" s="987"/>
      <c r="GTU45" s="987"/>
      <c r="GTV45" s="987"/>
      <c r="GTW45" s="987"/>
      <c r="GTX45" s="987"/>
      <c r="GTY45" s="987"/>
      <c r="GTZ45" s="987"/>
      <c r="GUA45" s="987"/>
      <c r="GUB45" s="987"/>
      <c r="GUC45" s="987"/>
      <c r="GUD45" s="987"/>
      <c r="GUE45" s="987"/>
      <c r="GUF45" s="987"/>
      <c r="GUG45" s="987"/>
      <c r="GUH45" s="987"/>
      <c r="GUI45" s="987"/>
      <c r="GUJ45" s="987"/>
      <c r="GUK45" s="987"/>
      <c r="GUL45" s="987"/>
      <c r="GUM45" s="987"/>
      <c r="GUN45" s="987"/>
      <c r="GUO45" s="987"/>
      <c r="GUP45" s="987"/>
      <c r="GUQ45" s="987"/>
      <c r="GUR45" s="987"/>
      <c r="GUS45" s="987"/>
      <c r="GUT45" s="987"/>
      <c r="GUU45" s="987"/>
      <c r="GUV45" s="987"/>
      <c r="GUW45" s="987"/>
      <c r="GUX45" s="987"/>
      <c r="GUY45" s="987"/>
      <c r="GUZ45" s="987"/>
      <c r="GVA45" s="987"/>
      <c r="GVB45" s="987"/>
      <c r="GVC45" s="987"/>
      <c r="GVD45" s="987"/>
      <c r="GVE45" s="987"/>
      <c r="GVF45" s="987"/>
      <c r="GVG45" s="987"/>
      <c r="GVH45" s="987"/>
      <c r="GVI45" s="987"/>
      <c r="GVJ45" s="987"/>
      <c r="GVK45" s="987"/>
      <c r="GVL45" s="987"/>
      <c r="GVM45" s="987"/>
      <c r="GVN45" s="987"/>
      <c r="GVO45" s="987"/>
      <c r="GVP45" s="987"/>
      <c r="GVQ45" s="987"/>
      <c r="GVR45" s="987"/>
      <c r="GVS45" s="987"/>
      <c r="GVT45" s="987"/>
      <c r="GVU45" s="987"/>
      <c r="GVV45" s="987"/>
      <c r="GVW45" s="987"/>
      <c r="GVX45" s="987"/>
      <c r="GVY45" s="987"/>
      <c r="GVZ45" s="987"/>
      <c r="GWA45" s="987"/>
      <c r="GWB45" s="987"/>
      <c r="GWC45" s="987"/>
      <c r="GWD45" s="987"/>
      <c r="GWE45" s="987"/>
      <c r="GWF45" s="987"/>
      <c r="GWG45" s="987"/>
      <c r="GWH45" s="987"/>
      <c r="GWI45" s="987"/>
      <c r="GWJ45" s="987"/>
      <c r="GWK45" s="987"/>
      <c r="GWL45" s="987"/>
      <c r="GWM45" s="987"/>
      <c r="GWN45" s="987"/>
      <c r="GWO45" s="987"/>
      <c r="GWP45" s="987"/>
      <c r="GWQ45" s="987"/>
      <c r="GWR45" s="987"/>
      <c r="GWS45" s="987"/>
      <c r="GWT45" s="987"/>
      <c r="GWU45" s="987"/>
      <c r="GWV45" s="987"/>
      <c r="GWW45" s="987"/>
      <c r="GWX45" s="987"/>
      <c r="GWY45" s="987"/>
      <c r="GWZ45" s="987"/>
      <c r="GXA45" s="987"/>
      <c r="GXB45" s="987"/>
      <c r="GXC45" s="987"/>
      <c r="GXD45" s="987"/>
      <c r="GXE45" s="987"/>
      <c r="GXF45" s="987"/>
      <c r="GXG45" s="987"/>
      <c r="GXH45" s="987"/>
      <c r="GXI45" s="987"/>
      <c r="GXJ45" s="987"/>
      <c r="GXK45" s="987"/>
      <c r="GXL45" s="987"/>
      <c r="GXM45" s="987"/>
      <c r="GXN45" s="987"/>
      <c r="GXO45" s="987"/>
      <c r="GXP45" s="987"/>
      <c r="GXQ45" s="987"/>
      <c r="GXR45" s="987"/>
      <c r="GXS45" s="987"/>
      <c r="GXT45" s="987"/>
      <c r="GXU45" s="987"/>
      <c r="GXV45" s="987"/>
      <c r="GXW45" s="987"/>
      <c r="GXX45" s="987"/>
      <c r="GXY45" s="987"/>
      <c r="GXZ45" s="987"/>
      <c r="GYA45" s="987"/>
      <c r="GYB45" s="987"/>
      <c r="GYC45" s="987"/>
      <c r="GYD45" s="987"/>
      <c r="GYE45" s="987"/>
      <c r="GYF45" s="987"/>
      <c r="GYG45" s="987"/>
      <c r="GYH45" s="987"/>
      <c r="GYI45" s="987"/>
      <c r="GYJ45" s="987"/>
      <c r="GYK45" s="987"/>
      <c r="GYL45" s="987"/>
      <c r="GYM45" s="987"/>
      <c r="GYN45" s="987"/>
      <c r="GYO45" s="987"/>
      <c r="GYP45" s="987"/>
      <c r="GYQ45" s="987"/>
      <c r="GYR45" s="987"/>
      <c r="GYS45" s="987"/>
      <c r="GYT45" s="987"/>
      <c r="GYU45" s="987"/>
      <c r="GYV45" s="987"/>
      <c r="GYW45" s="987"/>
      <c r="GYX45" s="987"/>
      <c r="GYY45" s="987"/>
      <c r="GYZ45" s="987"/>
      <c r="GZA45" s="987"/>
      <c r="GZB45" s="987"/>
      <c r="GZC45" s="987"/>
      <c r="GZD45" s="987"/>
      <c r="GZE45" s="987"/>
      <c r="GZF45" s="987"/>
      <c r="GZG45" s="987"/>
      <c r="GZH45" s="987"/>
      <c r="GZI45" s="987"/>
      <c r="GZJ45" s="987"/>
      <c r="GZK45" s="987"/>
      <c r="GZL45" s="987"/>
      <c r="GZM45" s="987"/>
      <c r="GZN45" s="987"/>
      <c r="GZO45" s="987"/>
      <c r="GZP45" s="987"/>
      <c r="GZQ45" s="987"/>
      <c r="GZR45" s="987"/>
      <c r="GZS45" s="987"/>
      <c r="GZT45" s="987"/>
      <c r="GZU45" s="987"/>
      <c r="GZV45" s="987"/>
      <c r="GZW45" s="987"/>
      <c r="GZX45" s="987"/>
      <c r="GZY45" s="987"/>
      <c r="GZZ45" s="987"/>
      <c r="HAA45" s="987"/>
      <c r="HAB45" s="987"/>
      <c r="HAC45" s="987"/>
      <c r="HAD45" s="987"/>
      <c r="HAE45" s="987"/>
      <c r="HAF45" s="987"/>
      <c r="HAG45" s="987"/>
      <c r="HAH45" s="987"/>
      <c r="HAI45" s="987"/>
      <c r="HAJ45" s="987"/>
      <c r="HAK45" s="987"/>
      <c r="HAL45" s="987"/>
      <c r="HAM45" s="987"/>
      <c r="HAN45" s="987"/>
      <c r="HAO45" s="987"/>
      <c r="HAP45" s="987"/>
      <c r="HAQ45" s="987"/>
      <c r="HAR45" s="987"/>
      <c r="HAS45" s="987"/>
      <c r="HAT45" s="987"/>
      <c r="HAU45" s="987"/>
      <c r="HAV45" s="987"/>
      <c r="HAW45" s="987"/>
      <c r="HAX45" s="987"/>
      <c r="HAY45" s="987"/>
      <c r="HAZ45" s="987"/>
      <c r="HBA45" s="987"/>
      <c r="HBB45" s="987"/>
      <c r="HBC45" s="987"/>
      <c r="HBD45" s="987"/>
      <c r="HBE45" s="987"/>
      <c r="HBF45" s="987"/>
      <c r="HBG45" s="987"/>
      <c r="HBH45" s="987"/>
      <c r="HBI45" s="987"/>
      <c r="HBJ45" s="987"/>
      <c r="HBK45" s="987"/>
      <c r="HBL45" s="987"/>
      <c r="HBM45" s="987"/>
      <c r="HBN45" s="987"/>
      <c r="HBO45" s="987"/>
      <c r="HBP45" s="987"/>
      <c r="HBQ45" s="987"/>
      <c r="HBR45" s="987"/>
      <c r="HBS45" s="987"/>
      <c r="HBT45" s="987"/>
      <c r="HBU45" s="987"/>
      <c r="HBV45" s="987"/>
      <c r="HBW45" s="987"/>
      <c r="HBX45" s="987"/>
      <c r="HBY45" s="987"/>
      <c r="HBZ45" s="987"/>
      <c r="HCA45" s="987"/>
      <c r="HCB45" s="987"/>
      <c r="HCC45" s="987"/>
      <c r="HCD45" s="987"/>
      <c r="HCE45" s="987"/>
      <c r="HCF45" s="987"/>
      <c r="HCG45" s="987"/>
      <c r="HCH45" s="987"/>
      <c r="HCI45" s="987"/>
      <c r="HCJ45" s="987"/>
      <c r="HCK45" s="987"/>
      <c r="HCL45" s="987"/>
      <c r="HCM45" s="987"/>
      <c r="HCN45" s="987"/>
      <c r="HCO45" s="987"/>
      <c r="HCP45" s="987"/>
      <c r="HCQ45" s="987"/>
      <c r="HCR45" s="987"/>
      <c r="HCS45" s="987"/>
      <c r="HCT45" s="987"/>
      <c r="HCU45" s="987"/>
      <c r="HCV45" s="987"/>
      <c r="HCW45" s="987"/>
      <c r="HCX45" s="987"/>
      <c r="HCY45" s="987"/>
      <c r="HCZ45" s="987"/>
      <c r="HDA45" s="987"/>
      <c r="HDB45" s="987"/>
      <c r="HDC45" s="987"/>
      <c r="HDD45" s="987"/>
      <c r="HDE45" s="987"/>
      <c r="HDF45" s="987"/>
      <c r="HDG45" s="987"/>
      <c r="HDH45" s="987"/>
      <c r="HDI45" s="987"/>
      <c r="HDJ45" s="987"/>
      <c r="HDK45" s="987"/>
      <c r="HDL45" s="987"/>
      <c r="HDM45" s="987"/>
      <c r="HDN45" s="987"/>
      <c r="HDO45" s="987"/>
      <c r="HDP45" s="987"/>
      <c r="HDQ45" s="987"/>
      <c r="HDR45" s="987"/>
      <c r="HDS45" s="987"/>
      <c r="HDT45" s="987"/>
      <c r="HDU45" s="987"/>
      <c r="HDV45" s="987"/>
      <c r="HDW45" s="987"/>
      <c r="HDX45" s="987"/>
      <c r="HDY45" s="987"/>
      <c r="HDZ45" s="987"/>
      <c r="HEA45" s="987"/>
      <c r="HEB45" s="987"/>
      <c r="HEC45" s="987"/>
      <c r="HED45" s="987"/>
      <c r="HEE45" s="987"/>
      <c r="HEF45" s="987"/>
      <c r="HEG45" s="987"/>
      <c r="HEH45" s="987"/>
      <c r="HEI45" s="987"/>
      <c r="HEJ45" s="987"/>
      <c r="HEK45" s="987"/>
      <c r="HEL45" s="987"/>
      <c r="HEM45" s="987"/>
      <c r="HEN45" s="987"/>
      <c r="HEO45" s="987"/>
      <c r="HEP45" s="987"/>
      <c r="HEQ45" s="987"/>
      <c r="HER45" s="987"/>
      <c r="HES45" s="987"/>
      <c r="HET45" s="987"/>
      <c r="HEU45" s="987"/>
      <c r="HEV45" s="987"/>
      <c r="HEW45" s="987"/>
      <c r="HEX45" s="987"/>
      <c r="HEY45" s="987"/>
      <c r="HEZ45" s="987"/>
      <c r="HFA45" s="987"/>
      <c r="HFB45" s="987"/>
      <c r="HFC45" s="987"/>
      <c r="HFD45" s="987"/>
      <c r="HFE45" s="987"/>
      <c r="HFF45" s="987"/>
      <c r="HFG45" s="987"/>
      <c r="HFH45" s="987"/>
      <c r="HFI45" s="987"/>
      <c r="HFJ45" s="987"/>
      <c r="HFK45" s="987"/>
      <c r="HFL45" s="987"/>
      <c r="HFM45" s="987"/>
      <c r="HFN45" s="987"/>
      <c r="HFO45" s="987"/>
      <c r="HFP45" s="987"/>
      <c r="HFQ45" s="987"/>
      <c r="HFR45" s="987"/>
      <c r="HFS45" s="987"/>
      <c r="HFT45" s="987"/>
      <c r="HFU45" s="987"/>
      <c r="HFV45" s="987"/>
      <c r="HFW45" s="987"/>
      <c r="HFX45" s="987"/>
      <c r="HFY45" s="987"/>
      <c r="HFZ45" s="987"/>
      <c r="HGA45" s="987"/>
      <c r="HGB45" s="987"/>
      <c r="HGC45" s="987"/>
      <c r="HGD45" s="987"/>
      <c r="HGE45" s="987"/>
      <c r="HGF45" s="987"/>
      <c r="HGG45" s="987"/>
      <c r="HGH45" s="987"/>
      <c r="HGI45" s="987"/>
      <c r="HGJ45" s="987"/>
      <c r="HGK45" s="987"/>
      <c r="HGL45" s="987"/>
      <c r="HGM45" s="987"/>
      <c r="HGN45" s="987"/>
      <c r="HGO45" s="987"/>
      <c r="HGP45" s="987"/>
      <c r="HGQ45" s="987"/>
      <c r="HGR45" s="987"/>
      <c r="HGS45" s="987"/>
      <c r="HGT45" s="987"/>
      <c r="HGU45" s="987"/>
      <c r="HGV45" s="987"/>
      <c r="HGW45" s="987"/>
      <c r="HGX45" s="987"/>
      <c r="HGY45" s="987"/>
      <c r="HGZ45" s="987"/>
      <c r="HHA45" s="987"/>
      <c r="HHB45" s="987"/>
      <c r="HHC45" s="987"/>
      <c r="HHD45" s="987"/>
      <c r="HHE45" s="987"/>
      <c r="HHF45" s="987"/>
      <c r="HHG45" s="987"/>
      <c r="HHH45" s="987"/>
      <c r="HHI45" s="987"/>
      <c r="HHJ45" s="987"/>
      <c r="HHK45" s="987"/>
      <c r="HHL45" s="987"/>
      <c r="HHM45" s="987"/>
      <c r="HHN45" s="987"/>
      <c r="HHO45" s="987"/>
      <c r="HHP45" s="987"/>
      <c r="HHQ45" s="987"/>
      <c r="HHR45" s="987"/>
      <c r="HHS45" s="987"/>
      <c r="HHT45" s="987"/>
      <c r="HHU45" s="987"/>
      <c r="HHV45" s="987"/>
      <c r="HHW45" s="987"/>
      <c r="HHX45" s="987"/>
      <c r="HHY45" s="987"/>
      <c r="HHZ45" s="987"/>
      <c r="HIA45" s="987"/>
      <c r="HIB45" s="987"/>
      <c r="HIC45" s="987"/>
      <c r="HID45" s="987"/>
      <c r="HIE45" s="987"/>
      <c r="HIF45" s="987"/>
      <c r="HIG45" s="987"/>
      <c r="HIH45" s="987"/>
      <c r="HII45" s="987"/>
      <c r="HIJ45" s="987"/>
      <c r="HIK45" s="987"/>
      <c r="HIL45" s="987"/>
      <c r="HIM45" s="987"/>
      <c r="HIN45" s="987"/>
      <c r="HIO45" s="987"/>
      <c r="HIP45" s="987"/>
      <c r="HIQ45" s="987"/>
      <c r="HIR45" s="987"/>
      <c r="HIS45" s="987"/>
      <c r="HIT45" s="987"/>
      <c r="HIU45" s="987"/>
      <c r="HIV45" s="987"/>
      <c r="HIW45" s="987"/>
      <c r="HIX45" s="987"/>
      <c r="HIY45" s="987"/>
      <c r="HIZ45" s="987"/>
      <c r="HJA45" s="987"/>
      <c r="HJB45" s="987"/>
      <c r="HJC45" s="987"/>
      <c r="HJD45" s="987"/>
      <c r="HJE45" s="987"/>
      <c r="HJF45" s="987"/>
      <c r="HJG45" s="987"/>
      <c r="HJH45" s="987"/>
      <c r="HJI45" s="987"/>
      <c r="HJJ45" s="987"/>
      <c r="HJK45" s="987"/>
      <c r="HJL45" s="987"/>
      <c r="HJM45" s="987"/>
      <c r="HJN45" s="987"/>
      <c r="HJO45" s="987"/>
      <c r="HJP45" s="987"/>
      <c r="HJQ45" s="987"/>
      <c r="HJR45" s="987"/>
      <c r="HJS45" s="987"/>
      <c r="HJT45" s="987"/>
      <c r="HJU45" s="987"/>
      <c r="HJV45" s="987"/>
      <c r="HJW45" s="987"/>
      <c r="HJX45" s="987"/>
      <c r="HJY45" s="987"/>
      <c r="HJZ45" s="987"/>
      <c r="HKA45" s="987"/>
      <c r="HKB45" s="987"/>
      <c r="HKC45" s="987"/>
      <c r="HKD45" s="987"/>
      <c r="HKE45" s="987"/>
      <c r="HKF45" s="987"/>
      <c r="HKG45" s="987"/>
      <c r="HKH45" s="987"/>
      <c r="HKI45" s="987"/>
      <c r="HKJ45" s="987"/>
      <c r="HKK45" s="987"/>
      <c r="HKL45" s="987"/>
      <c r="HKM45" s="987"/>
      <c r="HKN45" s="987"/>
      <c r="HKO45" s="987"/>
      <c r="HKP45" s="987"/>
      <c r="HKQ45" s="987"/>
      <c r="HKR45" s="987"/>
      <c r="HKS45" s="987"/>
      <c r="HKT45" s="987"/>
      <c r="HKU45" s="987"/>
      <c r="HKV45" s="987"/>
      <c r="HKW45" s="987"/>
      <c r="HKX45" s="987"/>
      <c r="HKY45" s="987"/>
      <c r="HKZ45" s="987"/>
      <c r="HLA45" s="987"/>
      <c r="HLB45" s="987"/>
      <c r="HLC45" s="987"/>
      <c r="HLD45" s="987"/>
      <c r="HLE45" s="987"/>
      <c r="HLF45" s="987"/>
      <c r="HLG45" s="987"/>
      <c r="HLH45" s="987"/>
      <c r="HLI45" s="987"/>
      <c r="HLJ45" s="987"/>
      <c r="HLK45" s="987"/>
      <c r="HLL45" s="987"/>
      <c r="HLM45" s="987"/>
      <c r="HLN45" s="987"/>
      <c r="HLO45" s="987"/>
      <c r="HLP45" s="987"/>
      <c r="HLQ45" s="987"/>
      <c r="HLR45" s="987"/>
      <c r="HLS45" s="987"/>
      <c r="HLT45" s="987"/>
      <c r="HLU45" s="987"/>
      <c r="HLV45" s="987"/>
      <c r="HLW45" s="987"/>
      <c r="HLX45" s="987"/>
      <c r="HLY45" s="987"/>
      <c r="HLZ45" s="987"/>
      <c r="HMA45" s="987"/>
      <c r="HMB45" s="987"/>
      <c r="HMC45" s="987"/>
      <c r="HMD45" s="987"/>
      <c r="HME45" s="987"/>
      <c r="HMF45" s="987"/>
      <c r="HMG45" s="987"/>
      <c r="HMH45" s="987"/>
      <c r="HMI45" s="987"/>
      <c r="HMJ45" s="987"/>
      <c r="HMK45" s="987"/>
      <c r="HML45" s="987"/>
      <c r="HMM45" s="987"/>
      <c r="HMN45" s="987"/>
      <c r="HMO45" s="987"/>
      <c r="HMP45" s="987"/>
      <c r="HMQ45" s="987"/>
      <c r="HMR45" s="987"/>
      <c r="HMS45" s="987"/>
      <c r="HMT45" s="987"/>
      <c r="HMU45" s="987"/>
      <c r="HMV45" s="987"/>
      <c r="HMW45" s="987"/>
      <c r="HMX45" s="987"/>
      <c r="HMY45" s="987"/>
      <c r="HMZ45" s="987"/>
      <c r="HNA45" s="987"/>
      <c r="HNB45" s="987"/>
      <c r="HNC45" s="987"/>
      <c r="HND45" s="987"/>
      <c r="HNE45" s="987"/>
      <c r="HNF45" s="987"/>
      <c r="HNG45" s="987"/>
      <c r="HNH45" s="987"/>
      <c r="HNI45" s="987"/>
      <c r="HNJ45" s="987"/>
      <c r="HNK45" s="987"/>
      <c r="HNL45" s="987"/>
      <c r="HNM45" s="987"/>
      <c r="HNN45" s="987"/>
      <c r="HNO45" s="987"/>
      <c r="HNP45" s="987"/>
      <c r="HNQ45" s="987"/>
      <c r="HNR45" s="987"/>
      <c r="HNS45" s="987"/>
      <c r="HNT45" s="987"/>
      <c r="HNU45" s="987"/>
      <c r="HNV45" s="987"/>
      <c r="HNW45" s="987"/>
      <c r="HNX45" s="987"/>
      <c r="HNY45" s="987"/>
      <c r="HNZ45" s="987"/>
      <c r="HOA45" s="987"/>
      <c r="HOB45" s="987"/>
      <c r="HOC45" s="987"/>
      <c r="HOD45" s="987"/>
      <c r="HOE45" s="987"/>
      <c r="HOF45" s="987"/>
      <c r="HOG45" s="987"/>
      <c r="HOH45" s="987"/>
      <c r="HOI45" s="987"/>
      <c r="HOJ45" s="987"/>
      <c r="HOK45" s="987"/>
      <c r="HOL45" s="987"/>
      <c r="HOM45" s="987"/>
      <c r="HON45" s="987"/>
      <c r="HOO45" s="987"/>
      <c r="HOP45" s="987"/>
      <c r="HOQ45" s="987"/>
      <c r="HOR45" s="987"/>
      <c r="HOS45" s="987"/>
      <c r="HOT45" s="987"/>
      <c r="HOU45" s="987"/>
      <c r="HOV45" s="987"/>
      <c r="HOW45" s="987"/>
      <c r="HOX45" s="987"/>
      <c r="HOY45" s="987"/>
      <c r="HOZ45" s="987"/>
      <c r="HPA45" s="987"/>
      <c r="HPB45" s="987"/>
      <c r="HPC45" s="987"/>
      <c r="HPD45" s="987"/>
      <c r="HPE45" s="987"/>
      <c r="HPF45" s="987"/>
      <c r="HPG45" s="987"/>
      <c r="HPH45" s="987"/>
      <c r="HPI45" s="987"/>
      <c r="HPJ45" s="987"/>
      <c r="HPK45" s="987"/>
      <c r="HPL45" s="987"/>
      <c r="HPM45" s="987"/>
      <c r="HPN45" s="987"/>
      <c r="HPO45" s="987"/>
      <c r="HPP45" s="987"/>
      <c r="HPQ45" s="987"/>
      <c r="HPR45" s="987"/>
      <c r="HPS45" s="987"/>
      <c r="HPT45" s="987"/>
      <c r="HPU45" s="987"/>
      <c r="HPV45" s="987"/>
      <c r="HPW45" s="987"/>
      <c r="HPX45" s="987"/>
      <c r="HPY45" s="987"/>
      <c r="HPZ45" s="987"/>
      <c r="HQA45" s="987"/>
      <c r="HQB45" s="987"/>
      <c r="HQC45" s="987"/>
      <c r="HQD45" s="987"/>
      <c r="HQE45" s="987"/>
      <c r="HQF45" s="987"/>
      <c r="HQG45" s="987"/>
      <c r="HQH45" s="987"/>
      <c r="HQI45" s="987"/>
      <c r="HQJ45" s="987"/>
      <c r="HQK45" s="987"/>
      <c r="HQL45" s="987"/>
      <c r="HQM45" s="987"/>
      <c r="HQN45" s="987"/>
      <c r="HQO45" s="987"/>
      <c r="HQP45" s="987"/>
      <c r="HQQ45" s="987"/>
      <c r="HQR45" s="987"/>
      <c r="HQS45" s="987"/>
      <c r="HQT45" s="987"/>
      <c r="HQU45" s="987"/>
      <c r="HQV45" s="987"/>
      <c r="HQW45" s="987"/>
      <c r="HQX45" s="987"/>
      <c r="HQY45" s="987"/>
      <c r="HQZ45" s="987"/>
      <c r="HRA45" s="987"/>
      <c r="HRB45" s="987"/>
      <c r="HRC45" s="987"/>
      <c r="HRD45" s="987"/>
      <c r="HRE45" s="987"/>
      <c r="HRF45" s="987"/>
      <c r="HRG45" s="987"/>
      <c r="HRH45" s="987"/>
      <c r="HRI45" s="987"/>
      <c r="HRJ45" s="987"/>
      <c r="HRK45" s="987"/>
      <c r="HRL45" s="987"/>
      <c r="HRM45" s="987"/>
      <c r="HRN45" s="987"/>
      <c r="HRO45" s="987"/>
      <c r="HRP45" s="987"/>
      <c r="HRQ45" s="987"/>
      <c r="HRR45" s="987"/>
      <c r="HRS45" s="987"/>
      <c r="HRT45" s="987"/>
      <c r="HRU45" s="987"/>
      <c r="HRV45" s="987"/>
      <c r="HRW45" s="987"/>
      <c r="HRX45" s="987"/>
      <c r="HRY45" s="987"/>
      <c r="HRZ45" s="987"/>
      <c r="HSA45" s="987"/>
      <c r="HSB45" s="987"/>
      <c r="HSC45" s="987"/>
      <c r="HSD45" s="987"/>
      <c r="HSE45" s="987"/>
      <c r="HSF45" s="987"/>
      <c r="HSG45" s="987"/>
      <c r="HSH45" s="987"/>
      <c r="HSI45" s="987"/>
      <c r="HSJ45" s="987"/>
      <c r="HSK45" s="987"/>
      <c r="HSL45" s="987"/>
      <c r="HSM45" s="987"/>
      <c r="HSN45" s="987"/>
      <c r="HSO45" s="987"/>
      <c r="HSP45" s="987"/>
      <c r="HSQ45" s="987"/>
      <c r="HSR45" s="987"/>
      <c r="HSS45" s="987"/>
      <c r="HST45" s="987"/>
      <c r="HSU45" s="987"/>
      <c r="HSV45" s="987"/>
      <c r="HSW45" s="987"/>
      <c r="HSX45" s="987"/>
      <c r="HSY45" s="987"/>
      <c r="HSZ45" s="987"/>
      <c r="HTA45" s="987"/>
      <c r="HTB45" s="987"/>
      <c r="HTC45" s="987"/>
      <c r="HTD45" s="987"/>
      <c r="HTE45" s="987"/>
      <c r="HTF45" s="987"/>
      <c r="HTG45" s="987"/>
      <c r="HTH45" s="987"/>
      <c r="HTI45" s="987"/>
      <c r="HTJ45" s="987"/>
      <c r="HTK45" s="987"/>
      <c r="HTL45" s="987"/>
      <c r="HTM45" s="987"/>
      <c r="HTN45" s="987"/>
      <c r="HTO45" s="987"/>
      <c r="HTP45" s="987"/>
      <c r="HTQ45" s="987"/>
      <c r="HTR45" s="987"/>
      <c r="HTS45" s="987"/>
      <c r="HTT45" s="987"/>
      <c r="HTU45" s="987"/>
      <c r="HTV45" s="987"/>
      <c r="HTW45" s="987"/>
      <c r="HTX45" s="987"/>
      <c r="HTY45" s="987"/>
      <c r="HTZ45" s="987"/>
      <c r="HUA45" s="987"/>
      <c r="HUB45" s="987"/>
      <c r="HUC45" s="987"/>
      <c r="HUD45" s="987"/>
      <c r="HUE45" s="987"/>
      <c r="HUF45" s="987"/>
      <c r="HUG45" s="987"/>
      <c r="HUH45" s="987"/>
      <c r="HUI45" s="987"/>
      <c r="HUJ45" s="987"/>
      <c r="HUK45" s="987"/>
      <c r="HUL45" s="987"/>
      <c r="HUM45" s="987"/>
      <c r="HUN45" s="987"/>
      <c r="HUO45" s="987"/>
      <c r="HUP45" s="987"/>
      <c r="HUQ45" s="987"/>
      <c r="HUR45" s="987"/>
      <c r="HUS45" s="987"/>
      <c r="HUT45" s="987"/>
      <c r="HUU45" s="987"/>
      <c r="HUV45" s="987"/>
      <c r="HUW45" s="987"/>
      <c r="HUX45" s="987"/>
      <c r="HUY45" s="987"/>
      <c r="HUZ45" s="987"/>
      <c r="HVA45" s="987"/>
      <c r="HVB45" s="987"/>
      <c r="HVC45" s="987"/>
      <c r="HVD45" s="987"/>
      <c r="HVE45" s="987"/>
      <c r="HVF45" s="987"/>
      <c r="HVG45" s="987"/>
      <c r="HVH45" s="987"/>
      <c r="HVI45" s="987"/>
      <c r="HVJ45" s="987"/>
      <c r="HVK45" s="987"/>
      <c r="HVL45" s="987"/>
      <c r="HVM45" s="987"/>
      <c r="HVN45" s="987"/>
      <c r="HVO45" s="987"/>
      <c r="HVP45" s="987"/>
      <c r="HVQ45" s="987"/>
      <c r="HVR45" s="987"/>
      <c r="HVS45" s="987"/>
      <c r="HVT45" s="987"/>
      <c r="HVU45" s="987"/>
      <c r="HVV45" s="987"/>
      <c r="HVW45" s="987"/>
      <c r="HVX45" s="987"/>
      <c r="HVY45" s="987"/>
      <c r="HVZ45" s="987"/>
      <c r="HWA45" s="987"/>
      <c r="HWB45" s="987"/>
      <c r="HWC45" s="987"/>
      <c r="HWD45" s="987"/>
      <c r="HWE45" s="987"/>
      <c r="HWF45" s="987"/>
      <c r="HWG45" s="987"/>
      <c r="HWH45" s="987"/>
      <c r="HWI45" s="987"/>
      <c r="HWJ45" s="987"/>
      <c r="HWK45" s="987"/>
      <c r="HWL45" s="987"/>
      <c r="HWM45" s="987"/>
      <c r="HWN45" s="987"/>
      <c r="HWO45" s="987"/>
      <c r="HWP45" s="987"/>
      <c r="HWQ45" s="987"/>
      <c r="HWR45" s="987"/>
      <c r="HWS45" s="987"/>
      <c r="HWT45" s="987"/>
      <c r="HWU45" s="987"/>
      <c r="HWV45" s="987"/>
      <c r="HWW45" s="987"/>
      <c r="HWX45" s="987"/>
      <c r="HWY45" s="987"/>
      <c r="HWZ45" s="987"/>
      <c r="HXA45" s="987"/>
      <c r="HXB45" s="987"/>
      <c r="HXC45" s="987"/>
      <c r="HXD45" s="987"/>
      <c r="HXE45" s="987"/>
      <c r="HXF45" s="987"/>
      <c r="HXG45" s="987"/>
      <c r="HXH45" s="987"/>
      <c r="HXI45" s="987"/>
      <c r="HXJ45" s="987"/>
      <c r="HXK45" s="987"/>
      <c r="HXL45" s="987"/>
      <c r="HXM45" s="987"/>
      <c r="HXN45" s="987"/>
      <c r="HXO45" s="987"/>
      <c r="HXP45" s="987"/>
      <c r="HXQ45" s="987"/>
      <c r="HXR45" s="987"/>
      <c r="HXS45" s="987"/>
      <c r="HXT45" s="987"/>
      <c r="HXU45" s="987"/>
      <c r="HXV45" s="987"/>
      <c r="HXW45" s="987"/>
      <c r="HXX45" s="987"/>
      <c r="HXY45" s="987"/>
      <c r="HXZ45" s="987"/>
      <c r="HYA45" s="987"/>
      <c r="HYB45" s="987"/>
      <c r="HYC45" s="987"/>
      <c r="HYD45" s="987"/>
      <c r="HYE45" s="987"/>
      <c r="HYF45" s="987"/>
      <c r="HYG45" s="987"/>
      <c r="HYH45" s="987"/>
      <c r="HYI45" s="987"/>
      <c r="HYJ45" s="987"/>
      <c r="HYK45" s="987"/>
      <c r="HYL45" s="987"/>
      <c r="HYM45" s="987"/>
      <c r="HYN45" s="987"/>
      <c r="HYO45" s="987"/>
      <c r="HYP45" s="987"/>
      <c r="HYQ45" s="987"/>
      <c r="HYR45" s="987"/>
      <c r="HYS45" s="987"/>
      <c r="HYT45" s="987"/>
      <c r="HYU45" s="987"/>
      <c r="HYV45" s="987"/>
      <c r="HYW45" s="987"/>
      <c r="HYX45" s="987"/>
      <c r="HYY45" s="987"/>
      <c r="HYZ45" s="987"/>
      <c r="HZA45" s="987"/>
      <c r="HZB45" s="987"/>
      <c r="HZC45" s="987"/>
      <c r="HZD45" s="987"/>
      <c r="HZE45" s="987"/>
      <c r="HZF45" s="987"/>
      <c r="HZG45" s="987"/>
      <c r="HZH45" s="987"/>
      <c r="HZI45" s="987"/>
      <c r="HZJ45" s="987"/>
      <c r="HZK45" s="987"/>
      <c r="HZL45" s="987"/>
      <c r="HZM45" s="987"/>
      <c r="HZN45" s="987"/>
      <c r="HZO45" s="987"/>
      <c r="HZP45" s="987"/>
      <c r="HZQ45" s="987"/>
      <c r="HZR45" s="987"/>
      <c r="HZS45" s="987"/>
      <c r="HZT45" s="987"/>
      <c r="HZU45" s="987"/>
      <c r="HZV45" s="987"/>
      <c r="HZW45" s="987"/>
      <c r="HZX45" s="987"/>
      <c r="HZY45" s="987"/>
      <c r="HZZ45" s="987"/>
      <c r="IAA45" s="987"/>
      <c r="IAB45" s="987"/>
      <c r="IAC45" s="987"/>
      <c r="IAD45" s="987"/>
      <c r="IAE45" s="987"/>
      <c r="IAF45" s="987"/>
      <c r="IAG45" s="987"/>
      <c r="IAH45" s="987"/>
      <c r="IAI45" s="987"/>
      <c r="IAJ45" s="987"/>
      <c r="IAK45" s="987"/>
      <c r="IAL45" s="987"/>
      <c r="IAM45" s="987"/>
      <c r="IAN45" s="987"/>
      <c r="IAO45" s="987"/>
      <c r="IAP45" s="987"/>
      <c r="IAQ45" s="987"/>
      <c r="IAR45" s="987"/>
      <c r="IAS45" s="987"/>
      <c r="IAT45" s="987"/>
      <c r="IAU45" s="987"/>
      <c r="IAV45" s="987"/>
      <c r="IAW45" s="987"/>
      <c r="IAX45" s="987"/>
      <c r="IAY45" s="987"/>
      <c r="IAZ45" s="987"/>
      <c r="IBA45" s="987"/>
      <c r="IBB45" s="987"/>
      <c r="IBC45" s="987"/>
      <c r="IBD45" s="987"/>
      <c r="IBE45" s="987"/>
      <c r="IBF45" s="987"/>
      <c r="IBG45" s="987"/>
      <c r="IBH45" s="987"/>
      <c r="IBI45" s="987"/>
      <c r="IBJ45" s="987"/>
      <c r="IBK45" s="987"/>
      <c r="IBL45" s="987"/>
      <c r="IBM45" s="987"/>
      <c r="IBN45" s="987"/>
      <c r="IBO45" s="987"/>
      <c r="IBP45" s="987"/>
      <c r="IBQ45" s="987"/>
      <c r="IBR45" s="987"/>
      <c r="IBS45" s="987"/>
      <c r="IBT45" s="987"/>
      <c r="IBU45" s="987"/>
      <c r="IBV45" s="987"/>
      <c r="IBW45" s="987"/>
      <c r="IBX45" s="987"/>
      <c r="IBY45" s="987"/>
      <c r="IBZ45" s="987"/>
      <c r="ICA45" s="987"/>
      <c r="ICB45" s="987"/>
      <c r="ICC45" s="987"/>
      <c r="ICD45" s="987"/>
      <c r="ICE45" s="987"/>
      <c r="ICF45" s="987"/>
      <c r="ICG45" s="987"/>
      <c r="ICH45" s="987"/>
      <c r="ICI45" s="987"/>
      <c r="ICJ45" s="987"/>
      <c r="ICK45" s="987"/>
      <c r="ICL45" s="987"/>
      <c r="ICM45" s="987"/>
      <c r="ICN45" s="987"/>
      <c r="ICO45" s="987"/>
      <c r="ICP45" s="987"/>
      <c r="ICQ45" s="987"/>
      <c r="ICR45" s="987"/>
      <c r="ICS45" s="987"/>
      <c r="ICT45" s="987"/>
      <c r="ICU45" s="987"/>
      <c r="ICV45" s="987"/>
      <c r="ICW45" s="987"/>
      <c r="ICX45" s="987"/>
      <c r="ICY45" s="987"/>
      <c r="ICZ45" s="987"/>
      <c r="IDA45" s="987"/>
      <c r="IDB45" s="987"/>
      <c r="IDC45" s="987"/>
      <c r="IDD45" s="987"/>
      <c r="IDE45" s="987"/>
      <c r="IDF45" s="987"/>
      <c r="IDG45" s="987"/>
      <c r="IDH45" s="987"/>
      <c r="IDI45" s="987"/>
      <c r="IDJ45" s="987"/>
      <c r="IDK45" s="987"/>
      <c r="IDL45" s="987"/>
      <c r="IDM45" s="987"/>
      <c r="IDN45" s="987"/>
      <c r="IDO45" s="987"/>
      <c r="IDP45" s="987"/>
      <c r="IDQ45" s="987"/>
      <c r="IDR45" s="987"/>
      <c r="IDS45" s="987"/>
      <c r="IDT45" s="987"/>
      <c r="IDU45" s="987"/>
      <c r="IDV45" s="987"/>
      <c r="IDW45" s="987"/>
      <c r="IDX45" s="987"/>
      <c r="IDY45" s="987"/>
      <c r="IDZ45" s="987"/>
      <c r="IEA45" s="987"/>
      <c r="IEB45" s="987"/>
      <c r="IEC45" s="987"/>
      <c r="IED45" s="987"/>
      <c r="IEE45" s="987"/>
      <c r="IEF45" s="987"/>
      <c r="IEG45" s="987"/>
      <c r="IEH45" s="987"/>
      <c r="IEI45" s="987"/>
      <c r="IEJ45" s="987"/>
      <c r="IEK45" s="987"/>
      <c r="IEL45" s="987"/>
      <c r="IEM45" s="987"/>
      <c r="IEN45" s="987"/>
      <c r="IEO45" s="987"/>
      <c r="IEP45" s="987"/>
      <c r="IEQ45" s="987"/>
      <c r="IER45" s="987"/>
      <c r="IES45" s="987"/>
      <c r="IET45" s="987"/>
      <c r="IEU45" s="987"/>
      <c r="IEV45" s="987"/>
      <c r="IEW45" s="987"/>
      <c r="IEX45" s="987"/>
      <c r="IEY45" s="987"/>
      <c r="IEZ45" s="987"/>
      <c r="IFA45" s="987"/>
      <c r="IFB45" s="987"/>
      <c r="IFC45" s="987"/>
      <c r="IFD45" s="987"/>
      <c r="IFE45" s="987"/>
      <c r="IFF45" s="987"/>
      <c r="IFG45" s="987"/>
      <c r="IFH45" s="987"/>
      <c r="IFI45" s="987"/>
      <c r="IFJ45" s="987"/>
      <c r="IFK45" s="987"/>
      <c r="IFL45" s="987"/>
      <c r="IFM45" s="987"/>
      <c r="IFN45" s="987"/>
      <c r="IFO45" s="987"/>
      <c r="IFP45" s="987"/>
      <c r="IFQ45" s="987"/>
      <c r="IFR45" s="987"/>
      <c r="IFS45" s="987"/>
      <c r="IFT45" s="987"/>
      <c r="IFU45" s="987"/>
      <c r="IFV45" s="987"/>
      <c r="IFW45" s="987"/>
      <c r="IFX45" s="987"/>
      <c r="IFY45" s="987"/>
      <c r="IFZ45" s="987"/>
      <c r="IGA45" s="987"/>
      <c r="IGB45" s="987"/>
      <c r="IGC45" s="987"/>
      <c r="IGD45" s="987"/>
      <c r="IGE45" s="987"/>
      <c r="IGF45" s="987"/>
      <c r="IGG45" s="987"/>
      <c r="IGH45" s="987"/>
      <c r="IGI45" s="987"/>
      <c r="IGJ45" s="987"/>
      <c r="IGK45" s="987"/>
      <c r="IGL45" s="987"/>
      <c r="IGM45" s="987"/>
      <c r="IGN45" s="987"/>
      <c r="IGO45" s="987"/>
      <c r="IGP45" s="987"/>
      <c r="IGQ45" s="987"/>
      <c r="IGR45" s="987"/>
      <c r="IGS45" s="987"/>
      <c r="IGT45" s="987"/>
      <c r="IGU45" s="987"/>
      <c r="IGV45" s="987"/>
      <c r="IGW45" s="987"/>
      <c r="IGX45" s="987"/>
      <c r="IGY45" s="987"/>
      <c r="IGZ45" s="987"/>
      <c r="IHA45" s="987"/>
      <c r="IHB45" s="987"/>
      <c r="IHC45" s="987"/>
      <c r="IHD45" s="987"/>
      <c r="IHE45" s="987"/>
      <c r="IHF45" s="987"/>
      <c r="IHG45" s="987"/>
      <c r="IHH45" s="987"/>
      <c r="IHI45" s="987"/>
      <c r="IHJ45" s="987"/>
      <c r="IHK45" s="987"/>
      <c r="IHL45" s="987"/>
      <c r="IHM45" s="987"/>
      <c r="IHN45" s="987"/>
      <c r="IHO45" s="987"/>
      <c r="IHP45" s="987"/>
      <c r="IHQ45" s="987"/>
      <c r="IHR45" s="987"/>
      <c r="IHS45" s="987"/>
      <c r="IHT45" s="987"/>
      <c r="IHU45" s="987"/>
      <c r="IHV45" s="987"/>
      <c r="IHW45" s="987"/>
      <c r="IHX45" s="987"/>
      <c r="IHY45" s="987"/>
      <c r="IHZ45" s="987"/>
      <c r="IIA45" s="987"/>
      <c r="IIB45" s="987"/>
      <c r="IIC45" s="987"/>
      <c r="IID45" s="987"/>
      <c r="IIE45" s="987"/>
      <c r="IIF45" s="987"/>
      <c r="IIG45" s="987"/>
      <c r="IIH45" s="987"/>
      <c r="III45" s="987"/>
      <c r="IIJ45" s="987"/>
      <c r="IIK45" s="987"/>
      <c r="IIL45" s="987"/>
      <c r="IIM45" s="987"/>
      <c r="IIN45" s="987"/>
      <c r="IIO45" s="987"/>
      <c r="IIP45" s="987"/>
      <c r="IIQ45" s="987"/>
      <c r="IIR45" s="987"/>
      <c r="IIS45" s="987"/>
      <c r="IIT45" s="987"/>
      <c r="IIU45" s="987"/>
      <c r="IIV45" s="987"/>
      <c r="IIW45" s="987"/>
      <c r="IIX45" s="987"/>
      <c r="IIY45" s="987"/>
      <c r="IIZ45" s="987"/>
      <c r="IJA45" s="987"/>
      <c r="IJB45" s="987"/>
      <c r="IJC45" s="987"/>
      <c r="IJD45" s="987"/>
      <c r="IJE45" s="987"/>
      <c r="IJF45" s="987"/>
      <c r="IJG45" s="987"/>
      <c r="IJH45" s="987"/>
      <c r="IJI45" s="987"/>
      <c r="IJJ45" s="987"/>
      <c r="IJK45" s="987"/>
      <c r="IJL45" s="987"/>
      <c r="IJM45" s="987"/>
      <c r="IJN45" s="987"/>
      <c r="IJO45" s="987"/>
      <c r="IJP45" s="987"/>
      <c r="IJQ45" s="987"/>
      <c r="IJR45" s="987"/>
      <c r="IJS45" s="987"/>
      <c r="IJT45" s="987"/>
      <c r="IJU45" s="987"/>
      <c r="IJV45" s="987"/>
      <c r="IJW45" s="987"/>
      <c r="IJX45" s="987"/>
      <c r="IJY45" s="987"/>
      <c r="IJZ45" s="987"/>
      <c r="IKA45" s="987"/>
      <c r="IKB45" s="987"/>
      <c r="IKC45" s="987"/>
      <c r="IKD45" s="987"/>
      <c r="IKE45" s="987"/>
      <c r="IKF45" s="987"/>
      <c r="IKG45" s="987"/>
      <c r="IKH45" s="987"/>
      <c r="IKI45" s="987"/>
      <c r="IKJ45" s="987"/>
      <c r="IKK45" s="987"/>
      <c r="IKL45" s="987"/>
      <c r="IKM45" s="987"/>
      <c r="IKN45" s="987"/>
      <c r="IKO45" s="987"/>
      <c r="IKP45" s="987"/>
      <c r="IKQ45" s="987"/>
      <c r="IKR45" s="987"/>
      <c r="IKS45" s="987"/>
      <c r="IKT45" s="987"/>
      <c r="IKU45" s="987"/>
      <c r="IKV45" s="987"/>
      <c r="IKW45" s="987"/>
      <c r="IKX45" s="987"/>
      <c r="IKY45" s="987"/>
      <c r="IKZ45" s="987"/>
      <c r="ILA45" s="987"/>
      <c r="ILB45" s="987"/>
      <c r="ILC45" s="987"/>
      <c r="ILD45" s="987"/>
      <c r="ILE45" s="987"/>
      <c r="ILF45" s="987"/>
      <c r="ILG45" s="987"/>
      <c r="ILH45" s="987"/>
      <c r="ILI45" s="987"/>
      <c r="ILJ45" s="987"/>
      <c r="ILK45" s="987"/>
      <c r="ILL45" s="987"/>
      <c r="ILM45" s="987"/>
      <c r="ILN45" s="987"/>
      <c r="ILO45" s="987"/>
      <c r="ILP45" s="987"/>
      <c r="ILQ45" s="987"/>
      <c r="ILR45" s="987"/>
      <c r="ILS45" s="987"/>
      <c r="ILT45" s="987"/>
      <c r="ILU45" s="987"/>
      <c r="ILV45" s="987"/>
      <c r="ILW45" s="987"/>
      <c r="ILX45" s="987"/>
      <c r="ILY45" s="987"/>
      <c r="ILZ45" s="987"/>
      <c r="IMA45" s="987"/>
      <c r="IMB45" s="987"/>
      <c r="IMC45" s="987"/>
      <c r="IMD45" s="987"/>
      <c r="IME45" s="987"/>
      <c r="IMF45" s="987"/>
      <c r="IMG45" s="987"/>
      <c r="IMH45" s="987"/>
      <c r="IMI45" s="987"/>
      <c r="IMJ45" s="987"/>
      <c r="IMK45" s="987"/>
      <c r="IML45" s="987"/>
      <c r="IMM45" s="987"/>
      <c r="IMN45" s="987"/>
      <c r="IMO45" s="987"/>
      <c r="IMP45" s="987"/>
      <c r="IMQ45" s="987"/>
      <c r="IMR45" s="987"/>
      <c r="IMS45" s="987"/>
      <c r="IMT45" s="987"/>
      <c r="IMU45" s="987"/>
      <c r="IMV45" s="987"/>
      <c r="IMW45" s="987"/>
      <c r="IMX45" s="987"/>
      <c r="IMY45" s="987"/>
      <c r="IMZ45" s="987"/>
      <c r="INA45" s="987"/>
      <c r="INB45" s="987"/>
      <c r="INC45" s="987"/>
      <c r="IND45" s="987"/>
      <c r="INE45" s="987"/>
      <c r="INF45" s="987"/>
      <c r="ING45" s="987"/>
      <c r="INH45" s="987"/>
      <c r="INI45" s="987"/>
      <c r="INJ45" s="987"/>
      <c r="INK45" s="987"/>
      <c r="INL45" s="987"/>
      <c r="INM45" s="987"/>
      <c r="INN45" s="987"/>
      <c r="INO45" s="987"/>
      <c r="INP45" s="987"/>
      <c r="INQ45" s="987"/>
      <c r="INR45" s="987"/>
      <c r="INS45" s="987"/>
      <c r="INT45" s="987"/>
      <c r="INU45" s="987"/>
      <c r="INV45" s="987"/>
      <c r="INW45" s="987"/>
      <c r="INX45" s="987"/>
      <c r="INY45" s="987"/>
      <c r="INZ45" s="987"/>
      <c r="IOA45" s="987"/>
      <c r="IOB45" s="987"/>
      <c r="IOC45" s="987"/>
      <c r="IOD45" s="987"/>
      <c r="IOE45" s="987"/>
      <c r="IOF45" s="987"/>
      <c r="IOG45" s="987"/>
      <c r="IOH45" s="987"/>
      <c r="IOI45" s="987"/>
      <c r="IOJ45" s="987"/>
      <c r="IOK45" s="987"/>
      <c r="IOL45" s="987"/>
      <c r="IOM45" s="987"/>
      <c r="ION45" s="987"/>
      <c r="IOO45" s="987"/>
      <c r="IOP45" s="987"/>
      <c r="IOQ45" s="987"/>
      <c r="IOR45" s="987"/>
      <c r="IOS45" s="987"/>
      <c r="IOT45" s="987"/>
      <c r="IOU45" s="987"/>
      <c r="IOV45" s="987"/>
      <c r="IOW45" s="987"/>
      <c r="IOX45" s="987"/>
      <c r="IOY45" s="987"/>
      <c r="IOZ45" s="987"/>
      <c r="IPA45" s="987"/>
      <c r="IPB45" s="987"/>
      <c r="IPC45" s="987"/>
      <c r="IPD45" s="987"/>
      <c r="IPE45" s="987"/>
      <c r="IPF45" s="987"/>
      <c r="IPG45" s="987"/>
      <c r="IPH45" s="987"/>
      <c r="IPI45" s="987"/>
      <c r="IPJ45" s="987"/>
      <c r="IPK45" s="987"/>
      <c r="IPL45" s="987"/>
      <c r="IPM45" s="987"/>
      <c r="IPN45" s="987"/>
      <c r="IPO45" s="987"/>
      <c r="IPP45" s="987"/>
      <c r="IPQ45" s="987"/>
      <c r="IPR45" s="987"/>
      <c r="IPS45" s="987"/>
      <c r="IPT45" s="987"/>
      <c r="IPU45" s="987"/>
      <c r="IPV45" s="987"/>
      <c r="IPW45" s="987"/>
      <c r="IPX45" s="987"/>
      <c r="IPY45" s="987"/>
      <c r="IPZ45" s="987"/>
      <c r="IQA45" s="987"/>
      <c r="IQB45" s="987"/>
      <c r="IQC45" s="987"/>
      <c r="IQD45" s="987"/>
      <c r="IQE45" s="987"/>
      <c r="IQF45" s="987"/>
      <c r="IQG45" s="987"/>
      <c r="IQH45" s="987"/>
      <c r="IQI45" s="987"/>
      <c r="IQJ45" s="987"/>
      <c r="IQK45" s="987"/>
      <c r="IQL45" s="987"/>
      <c r="IQM45" s="987"/>
      <c r="IQN45" s="987"/>
      <c r="IQO45" s="987"/>
      <c r="IQP45" s="987"/>
      <c r="IQQ45" s="987"/>
      <c r="IQR45" s="987"/>
      <c r="IQS45" s="987"/>
      <c r="IQT45" s="987"/>
      <c r="IQU45" s="987"/>
      <c r="IQV45" s="987"/>
      <c r="IQW45" s="987"/>
      <c r="IQX45" s="987"/>
      <c r="IQY45" s="987"/>
      <c r="IQZ45" s="987"/>
      <c r="IRA45" s="987"/>
      <c r="IRB45" s="987"/>
      <c r="IRC45" s="987"/>
      <c r="IRD45" s="987"/>
      <c r="IRE45" s="987"/>
      <c r="IRF45" s="987"/>
      <c r="IRG45" s="987"/>
      <c r="IRH45" s="987"/>
      <c r="IRI45" s="987"/>
      <c r="IRJ45" s="987"/>
      <c r="IRK45" s="987"/>
      <c r="IRL45" s="987"/>
      <c r="IRM45" s="987"/>
      <c r="IRN45" s="987"/>
      <c r="IRO45" s="987"/>
      <c r="IRP45" s="987"/>
      <c r="IRQ45" s="987"/>
      <c r="IRR45" s="987"/>
      <c r="IRS45" s="987"/>
      <c r="IRT45" s="987"/>
      <c r="IRU45" s="987"/>
      <c r="IRV45" s="987"/>
      <c r="IRW45" s="987"/>
      <c r="IRX45" s="987"/>
      <c r="IRY45" s="987"/>
      <c r="IRZ45" s="987"/>
      <c r="ISA45" s="987"/>
      <c r="ISB45" s="987"/>
      <c r="ISC45" s="987"/>
      <c r="ISD45" s="987"/>
      <c r="ISE45" s="987"/>
      <c r="ISF45" s="987"/>
      <c r="ISG45" s="987"/>
      <c r="ISH45" s="987"/>
      <c r="ISI45" s="987"/>
      <c r="ISJ45" s="987"/>
      <c r="ISK45" s="987"/>
      <c r="ISL45" s="987"/>
      <c r="ISM45" s="987"/>
      <c r="ISN45" s="987"/>
      <c r="ISO45" s="987"/>
      <c r="ISP45" s="987"/>
      <c r="ISQ45" s="987"/>
      <c r="ISR45" s="987"/>
      <c r="ISS45" s="987"/>
      <c r="IST45" s="987"/>
      <c r="ISU45" s="987"/>
      <c r="ISV45" s="987"/>
      <c r="ISW45" s="987"/>
      <c r="ISX45" s="987"/>
      <c r="ISY45" s="987"/>
      <c r="ISZ45" s="987"/>
      <c r="ITA45" s="987"/>
      <c r="ITB45" s="987"/>
      <c r="ITC45" s="987"/>
      <c r="ITD45" s="987"/>
      <c r="ITE45" s="987"/>
      <c r="ITF45" s="987"/>
      <c r="ITG45" s="987"/>
      <c r="ITH45" s="987"/>
      <c r="ITI45" s="987"/>
      <c r="ITJ45" s="987"/>
      <c r="ITK45" s="987"/>
      <c r="ITL45" s="987"/>
      <c r="ITM45" s="987"/>
      <c r="ITN45" s="987"/>
      <c r="ITO45" s="987"/>
      <c r="ITP45" s="987"/>
      <c r="ITQ45" s="987"/>
      <c r="ITR45" s="987"/>
      <c r="ITS45" s="987"/>
      <c r="ITT45" s="987"/>
      <c r="ITU45" s="987"/>
      <c r="ITV45" s="987"/>
      <c r="ITW45" s="987"/>
      <c r="ITX45" s="987"/>
      <c r="ITY45" s="987"/>
      <c r="ITZ45" s="987"/>
      <c r="IUA45" s="987"/>
      <c r="IUB45" s="987"/>
      <c r="IUC45" s="987"/>
      <c r="IUD45" s="987"/>
      <c r="IUE45" s="987"/>
      <c r="IUF45" s="987"/>
      <c r="IUG45" s="987"/>
      <c r="IUH45" s="987"/>
      <c r="IUI45" s="987"/>
      <c r="IUJ45" s="987"/>
      <c r="IUK45" s="987"/>
      <c r="IUL45" s="987"/>
      <c r="IUM45" s="987"/>
      <c r="IUN45" s="987"/>
      <c r="IUO45" s="987"/>
      <c r="IUP45" s="987"/>
      <c r="IUQ45" s="987"/>
      <c r="IUR45" s="987"/>
      <c r="IUS45" s="987"/>
      <c r="IUT45" s="987"/>
      <c r="IUU45" s="987"/>
      <c r="IUV45" s="987"/>
      <c r="IUW45" s="987"/>
      <c r="IUX45" s="987"/>
      <c r="IUY45" s="987"/>
      <c r="IUZ45" s="987"/>
      <c r="IVA45" s="987"/>
      <c r="IVB45" s="987"/>
      <c r="IVC45" s="987"/>
      <c r="IVD45" s="987"/>
      <c r="IVE45" s="987"/>
      <c r="IVF45" s="987"/>
      <c r="IVG45" s="987"/>
      <c r="IVH45" s="987"/>
      <c r="IVI45" s="987"/>
      <c r="IVJ45" s="987"/>
      <c r="IVK45" s="987"/>
      <c r="IVL45" s="987"/>
      <c r="IVM45" s="987"/>
      <c r="IVN45" s="987"/>
      <c r="IVO45" s="987"/>
      <c r="IVP45" s="987"/>
      <c r="IVQ45" s="987"/>
      <c r="IVR45" s="987"/>
      <c r="IVS45" s="987"/>
      <c r="IVT45" s="987"/>
      <c r="IVU45" s="987"/>
      <c r="IVV45" s="987"/>
      <c r="IVW45" s="987"/>
      <c r="IVX45" s="987"/>
      <c r="IVY45" s="987"/>
      <c r="IVZ45" s="987"/>
      <c r="IWA45" s="987"/>
      <c r="IWB45" s="987"/>
      <c r="IWC45" s="987"/>
      <c r="IWD45" s="987"/>
      <c r="IWE45" s="987"/>
      <c r="IWF45" s="987"/>
      <c r="IWG45" s="987"/>
      <c r="IWH45" s="987"/>
      <c r="IWI45" s="987"/>
      <c r="IWJ45" s="987"/>
      <c r="IWK45" s="987"/>
      <c r="IWL45" s="987"/>
      <c r="IWM45" s="987"/>
      <c r="IWN45" s="987"/>
      <c r="IWO45" s="987"/>
      <c r="IWP45" s="987"/>
      <c r="IWQ45" s="987"/>
      <c r="IWR45" s="987"/>
      <c r="IWS45" s="987"/>
      <c r="IWT45" s="987"/>
      <c r="IWU45" s="987"/>
      <c r="IWV45" s="987"/>
      <c r="IWW45" s="987"/>
      <c r="IWX45" s="987"/>
      <c r="IWY45" s="987"/>
      <c r="IWZ45" s="987"/>
      <c r="IXA45" s="987"/>
      <c r="IXB45" s="987"/>
      <c r="IXC45" s="987"/>
      <c r="IXD45" s="987"/>
      <c r="IXE45" s="987"/>
      <c r="IXF45" s="987"/>
      <c r="IXG45" s="987"/>
      <c r="IXH45" s="987"/>
      <c r="IXI45" s="987"/>
      <c r="IXJ45" s="987"/>
      <c r="IXK45" s="987"/>
      <c r="IXL45" s="987"/>
      <c r="IXM45" s="987"/>
      <c r="IXN45" s="987"/>
      <c r="IXO45" s="987"/>
      <c r="IXP45" s="987"/>
      <c r="IXQ45" s="987"/>
      <c r="IXR45" s="987"/>
      <c r="IXS45" s="987"/>
      <c r="IXT45" s="987"/>
      <c r="IXU45" s="987"/>
      <c r="IXV45" s="987"/>
      <c r="IXW45" s="987"/>
      <c r="IXX45" s="987"/>
      <c r="IXY45" s="987"/>
      <c r="IXZ45" s="987"/>
      <c r="IYA45" s="987"/>
      <c r="IYB45" s="987"/>
      <c r="IYC45" s="987"/>
      <c r="IYD45" s="987"/>
      <c r="IYE45" s="987"/>
      <c r="IYF45" s="987"/>
      <c r="IYG45" s="987"/>
      <c r="IYH45" s="987"/>
      <c r="IYI45" s="987"/>
      <c r="IYJ45" s="987"/>
      <c r="IYK45" s="987"/>
      <c r="IYL45" s="987"/>
      <c r="IYM45" s="987"/>
      <c r="IYN45" s="987"/>
      <c r="IYO45" s="987"/>
      <c r="IYP45" s="987"/>
      <c r="IYQ45" s="987"/>
      <c r="IYR45" s="987"/>
      <c r="IYS45" s="987"/>
      <c r="IYT45" s="987"/>
      <c r="IYU45" s="987"/>
      <c r="IYV45" s="987"/>
      <c r="IYW45" s="987"/>
      <c r="IYX45" s="987"/>
      <c r="IYY45" s="987"/>
      <c r="IYZ45" s="987"/>
      <c r="IZA45" s="987"/>
      <c r="IZB45" s="987"/>
      <c r="IZC45" s="987"/>
      <c r="IZD45" s="987"/>
      <c r="IZE45" s="987"/>
      <c r="IZF45" s="987"/>
      <c r="IZG45" s="987"/>
      <c r="IZH45" s="987"/>
      <c r="IZI45" s="987"/>
      <c r="IZJ45" s="987"/>
      <c r="IZK45" s="987"/>
      <c r="IZL45" s="987"/>
      <c r="IZM45" s="987"/>
      <c r="IZN45" s="987"/>
      <c r="IZO45" s="987"/>
      <c r="IZP45" s="987"/>
      <c r="IZQ45" s="987"/>
      <c r="IZR45" s="987"/>
      <c r="IZS45" s="987"/>
      <c r="IZT45" s="987"/>
      <c r="IZU45" s="987"/>
      <c r="IZV45" s="987"/>
      <c r="IZW45" s="987"/>
      <c r="IZX45" s="987"/>
      <c r="IZY45" s="987"/>
      <c r="IZZ45" s="987"/>
      <c r="JAA45" s="987"/>
      <c r="JAB45" s="987"/>
      <c r="JAC45" s="987"/>
      <c r="JAD45" s="987"/>
      <c r="JAE45" s="987"/>
      <c r="JAF45" s="987"/>
      <c r="JAG45" s="987"/>
      <c r="JAH45" s="987"/>
      <c r="JAI45" s="987"/>
      <c r="JAJ45" s="987"/>
      <c r="JAK45" s="987"/>
      <c r="JAL45" s="987"/>
      <c r="JAM45" s="987"/>
      <c r="JAN45" s="987"/>
      <c r="JAO45" s="987"/>
      <c r="JAP45" s="987"/>
      <c r="JAQ45" s="987"/>
      <c r="JAR45" s="987"/>
      <c r="JAS45" s="987"/>
      <c r="JAT45" s="987"/>
      <c r="JAU45" s="987"/>
      <c r="JAV45" s="987"/>
      <c r="JAW45" s="987"/>
      <c r="JAX45" s="987"/>
      <c r="JAY45" s="987"/>
      <c r="JAZ45" s="987"/>
      <c r="JBA45" s="987"/>
      <c r="JBB45" s="987"/>
      <c r="JBC45" s="987"/>
      <c r="JBD45" s="987"/>
      <c r="JBE45" s="987"/>
      <c r="JBF45" s="987"/>
      <c r="JBG45" s="987"/>
      <c r="JBH45" s="987"/>
      <c r="JBI45" s="987"/>
      <c r="JBJ45" s="987"/>
      <c r="JBK45" s="987"/>
      <c r="JBL45" s="987"/>
      <c r="JBM45" s="987"/>
      <c r="JBN45" s="987"/>
      <c r="JBO45" s="987"/>
      <c r="JBP45" s="987"/>
      <c r="JBQ45" s="987"/>
      <c r="JBR45" s="987"/>
      <c r="JBS45" s="987"/>
      <c r="JBT45" s="987"/>
      <c r="JBU45" s="987"/>
      <c r="JBV45" s="987"/>
      <c r="JBW45" s="987"/>
      <c r="JBX45" s="987"/>
      <c r="JBY45" s="987"/>
      <c r="JBZ45" s="987"/>
      <c r="JCA45" s="987"/>
      <c r="JCB45" s="987"/>
      <c r="JCC45" s="987"/>
      <c r="JCD45" s="987"/>
      <c r="JCE45" s="987"/>
      <c r="JCF45" s="987"/>
      <c r="JCG45" s="987"/>
      <c r="JCH45" s="987"/>
      <c r="JCI45" s="987"/>
      <c r="JCJ45" s="987"/>
      <c r="JCK45" s="987"/>
      <c r="JCL45" s="987"/>
      <c r="JCM45" s="987"/>
      <c r="JCN45" s="987"/>
      <c r="JCO45" s="987"/>
      <c r="JCP45" s="987"/>
      <c r="JCQ45" s="987"/>
      <c r="JCR45" s="987"/>
      <c r="JCS45" s="987"/>
      <c r="JCT45" s="987"/>
      <c r="JCU45" s="987"/>
      <c r="JCV45" s="987"/>
      <c r="JCW45" s="987"/>
      <c r="JCX45" s="987"/>
      <c r="JCY45" s="987"/>
      <c r="JCZ45" s="987"/>
      <c r="JDA45" s="987"/>
      <c r="JDB45" s="987"/>
      <c r="JDC45" s="987"/>
      <c r="JDD45" s="987"/>
      <c r="JDE45" s="987"/>
      <c r="JDF45" s="987"/>
      <c r="JDG45" s="987"/>
      <c r="JDH45" s="987"/>
      <c r="JDI45" s="987"/>
      <c r="JDJ45" s="987"/>
      <c r="JDK45" s="987"/>
      <c r="JDL45" s="987"/>
      <c r="JDM45" s="987"/>
      <c r="JDN45" s="987"/>
      <c r="JDO45" s="987"/>
      <c r="JDP45" s="987"/>
      <c r="JDQ45" s="987"/>
      <c r="JDR45" s="987"/>
      <c r="JDS45" s="987"/>
      <c r="JDT45" s="987"/>
      <c r="JDU45" s="987"/>
      <c r="JDV45" s="987"/>
      <c r="JDW45" s="987"/>
      <c r="JDX45" s="987"/>
      <c r="JDY45" s="987"/>
      <c r="JDZ45" s="987"/>
      <c r="JEA45" s="987"/>
      <c r="JEB45" s="987"/>
      <c r="JEC45" s="987"/>
      <c r="JED45" s="987"/>
      <c r="JEE45" s="987"/>
      <c r="JEF45" s="987"/>
      <c r="JEG45" s="987"/>
      <c r="JEH45" s="987"/>
      <c r="JEI45" s="987"/>
      <c r="JEJ45" s="987"/>
      <c r="JEK45" s="987"/>
      <c r="JEL45" s="987"/>
      <c r="JEM45" s="987"/>
      <c r="JEN45" s="987"/>
      <c r="JEO45" s="987"/>
      <c r="JEP45" s="987"/>
      <c r="JEQ45" s="987"/>
      <c r="JER45" s="987"/>
      <c r="JES45" s="987"/>
      <c r="JET45" s="987"/>
      <c r="JEU45" s="987"/>
      <c r="JEV45" s="987"/>
      <c r="JEW45" s="987"/>
      <c r="JEX45" s="987"/>
      <c r="JEY45" s="987"/>
      <c r="JEZ45" s="987"/>
      <c r="JFA45" s="987"/>
      <c r="JFB45" s="987"/>
      <c r="JFC45" s="987"/>
      <c r="JFD45" s="987"/>
      <c r="JFE45" s="987"/>
      <c r="JFF45" s="987"/>
      <c r="JFG45" s="987"/>
      <c r="JFH45" s="987"/>
      <c r="JFI45" s="987"/>
      <c r="JFJ45" s="987"/>
      <c r="JFK45" s="987"/>
      <c r="JFL45" s="987"/>
      <c r="JFM45" s="987"/>
      <c r="JFN45" s="987"/>
      <c r="JFO45" s="987"/>
      <c r="JFP45" s="987"/>
      <c r="JFQ45" s="987"/>
      <c r="JFR45" s="987"/>
      <c r="JFS45" s="987"/>
      <c r="JFT45" s="987"/>
      <c r="JFU45" s="987"/>
      <c r="JFV45" s="987"/>
      <c r="JFW45" s="987"/>
      <c r="JFX45" s="987"/>
      <c r="JFY45" s="987"/>
      <c r="JFZ45" s="987"/>
      <c r="JGA45" s="987"/>
      <c r="JGB45" s="987"/>
      <c r="JGC45" s="987"/>
      <c r="JGD45" s="987"/>
      <c r="JGE45" s="987"/>
      <c r="JGF45" s="987"/>
      <c r="JGG45" s="987"/>
      <c r="JGH45" s="987"/>
      <c r="JGI45" s="987"/>
      <c r="JGJ45" s="987"/>
      <c r="JGK45" s="987"/>
      <c r="JGL45" s="987"/>
      <c r="JGM45" s="987"/>
      <c r="JGN45" s="987"/>
      <c r="JGO45" s="987"/>
      <c r="JGP45" s="987"/>
      <c r="JGQ45" s="987"/>
      <c r="JGR45" s="987"/>
      <c r="JGS45" s="987"/>
      <c r="JGT45" s="987"/>
      <c r="JGU45" s="987"/>
      <c r="JGV45" s="987"/>
      <c r="JGW45" s="987"/>
      <c r="JGX45" s="987"/>
      <c r="JGY45" s="987"/>
      <c r="JGZ45" s="987"/>
      <c r="JHA45" s="987"/>
      <c r="JHB45" s="987"/>
      <c r="JHC45" s="987"/>
      <c r="JHD45" s="987"/>
      <c r="JHE45" s="987"/>
      <c r="JHF45" s="987"/>
      <c r="JHG45" s="987"/>
      <c r="JHH45" s="987"/>
      <c r="JHI45" s="987"/>
      <c r="JHJ45" s="987"/>
      <c r="JHK45" s="987"/>
      <c r="JHL45" s="987"/>
      <c r="JHM45" s="987"/>
      <c r="JHN45" s="987"/>
      <c r="JHO45" s="987"/>
      <c r="JHP45" s="987"/>
      <c r="JHQ45" s="987"/>
      <c r="JHR45" s="987"/>
      <c r="JHS45" s="987"/>
      <c r="JHT45" s="987"/>
      <c r="JHU45" s="987"/>
      <c r="JHV45" s="987"/>
      <c r="JHW45" s="987"/>
      <c r="JHX45" s="987"/>
      <c r="JHY45" s="987"/>
      <c r="JHZ45" s="987"/>
      <c r="JIA45" s="987"/>
      <c r="JIB45" s="987"/>
      <c r="JIC45" s="987"/>
      <c r="JID45" s="987"/>
      <c r="JIE45" s="987"/>
      <c r="JIF45" s="987"/>
      <c r="JIG45" s="987"/>
      <c r="JIH45" s="987"/>
      <c r="JII45" s="987"/>
      <c r="JIJ45" s="987"/>
      <c r="JIK45" s="987"/>
      <c r="JIL45" s="987"/>
      <c r="JIM45" s="987"/>
      <c r="JIN45" s="987"/>
      <c r="JIO45" s="987"/>
      <c r="JIP45" s="987"/>
      <c r="JIQ45" s="987"/>
      <c r="JIR45" s="987"/>
      <c r="JIS45" s="987"/>
      <c r="JIT45" s="987"/>
      <c r="JIU45" s="987"/>
      <c r="JIV45" s="987"/>
      <c r="JIW45" s="987"/>
      <c r="JIX45" s="987"/>
      <c r="JIY45" s="987"/>
      <c r="JIZ45" s="987"/>
      <c r="JJA45" s="987"/>
      <c r="JJB45" s="987"/>
      <c r="JJC45" s="987"/>
      <c r="JJD45" s="987"/>
      <c r="JJE45" s="987"/>
      <c r="JJF45" s="987"/>
      <c r="JJG45" s="987"/>
      <c r="JJH45" s="987"/>
      <c r="JJI45" s="987"/>
      <c r="JJJ45" s="987"/>
      <c r="JJK45" s="987"/>
      <c r="JJL45" s="987"/>
      <c r="JJM45" s="987"/>
      <c r="JJN45" s="987"/>
      <c r="JJO45" s="987"/>
      <c r="JJP45" s="987"/>
      <c r="JJQ45" s="987"/>
      <c r="JJR45" s="987"/>
      <c r="JJS45" s="987"/>
      <c r="JJT45" s="987"/>
      <c r="JJU45" s="987"/>
      <c r="JJV45" s="987"/>
      <c r="JJW45" s="987"/>
      <c r="JJX45" s="987"/>
      <c r="JJY45" s="987"/>
      <c r="JJZ45" s="987"/>
      <c r="JKA45" s="987"/>
      <c r="JKB45" s="987"/>
      <c r="JKC45" s="987"/>
      <c r="JKD45" s="987"/>
      <c r="JKE45" s="987"/>
      <c r="JKF45" s="987"/>
      <c r="JKG45" s="987"/>
      <c r="JKH45" s="987"/>
      <c r="JKI45" s="987"/>
      <c r="JKJ45" s="987"/>
      <c r="JKK45" s="987"/>
      <c r="JKL45" s="987"/>
      <c r="JKM45" s="987"/>
      <c r="JKN45" s="987"/>
      <c r="JKO45" s="987"/>
      <c r="JKP45" s="987"/>
      <c r="JKQ45" s="987"/>
      <c r="JKR45" s="987"/>
      <c r="JKS45" s="987"/>
      <c r="JKT45" s="987"/>
      <c r="JKU45" s="987"/>
      <c r="JKV45" s="987"/>
      <c r="JKW45" s="987"/>
      <c r="JKX45" s="987"/>
      <c r="JKY45" s="987"/>
      <c r="JKZ45" s="987"/>
      <c r="JLA45" s="987"/>
      <c r="JLB45" s="987"/>
      <c r="JLC45" s="987"/>
      <c r="JLD45" s="987"/>
      <c r="JLE45" s="987"/>
      <c r="JLF45" s="987"/>
      <c r="JLG45" s="987"/>
      <c r="JLH45" s="987"/>
      <c r="JLI45" s="987"/>
      <c r="JLJ45" s="987"/>
      <c r="JLK45" s="987"/>
      <c r="JLL45" s="987"/>
      <c r="JLM45" s="987"/>
      <c r="JLN45" s="987"/>
      <c r="JLO45" s="987"/>
      <c r="JLP45" s="987"/>
      <c r="JLQ45" s="987"/>
      <c r="JLR45" s="987"/>
      <c r="JLS45" s="987"/>
      <c r="JLT45" s="987"/>
      <c r="JLU45" s="987"/>
      <c r="JLV45" s="987"/>
      <c r="JLW45" s="987"/>
      <c r="JLX45" s="987"/>
      <c r="JLY45" s="987"/>
      <c r="JLZ45" s="987"/>
      <c r="JMA45" s="987"/>
      <c r="JMB45" s="987"/>
      <c r="JMC45" s="987"/>
      <c r="JMD45" s="987"/>
      <c r="JME45" s="987"/>
      <c r="JMF45" s="987"/>
      <c r="JMG45" s="987"/>
      <c r="JMH45" s="987"/>
      <c r="JMI45" s="987"/>
      <c r="JMJ45" s="987"/>
      <c r="JMK45" s="987"/>
      <c r="JML45" s="987"/>
      <c r="JMM45" s="987"/>
      <c r="JMN45" s="987"/>
      <c r="JMO45" s="987"/>
      <c r="JMP45" s="987"/>
      <c r="JMQ45" s="987"/>
      <c r="JMR45" s="987"/>
      <c r="JMS45" s="987"/>
      <c r="JMT45" s="987"/>
      <c r="JMU45" s="987"/>
      <c r="JMV45" s="987"/>
      <c r="JMW45" s="987"/>
      <c r="JMX45" s="987"/>
      <c r="JMY45" s="987"/>
      <c r="JMZ45" s="987"/>
      <c r="JNA45" s="987"/>
      <c r="JNB45" s="987"/>
      <c r="JNC45" s="987"/>
      <c r="JND45" s="987"/>
      <c r="JNE45" s="987"/>
      <c r="JNF45" s="987"/>
      <c r="JNG45" s="987"/>
      <c r="JNH45" s="987"/>
      <c r="JNI45" s="987"/>
      <c r="JNJ45" s="987"/>
      <c r="JNK45" s="987"/>
      <c r="JNL45" s="987"/>
      <c r="JNM45" s="987"/>
      <c r="JNN45" s="987"/>
      <c r="JNO45" s="987"/>
      <c r="JNP45" s="987"/>
      <c r="JNQ45" s="987"/>
      <c r="JNR45" s="987"/>
      <c r="JNS45" s="987"/>
      <c r="JNT45" s="987"/>
      <c r="JNU45" s="987"/>
      <c r="JNV45" s="987"/>
      <c r="JNW45" s="987"/>
      <c r="JNX45" s="987"/>
      <c r="JNY45" s="987"/>
      <c r="JNZ45" s="987"/>
      <c r="JOA45" s="987"/>
      <c r="JOB45" s="987"/>
      <c r="JOC45" s="987"/>
      <c r="JOD45" s="987"/>
      <c r="JOE45" s="987"/>
      <c r="JOF45" s="987"/>
      <c r="JOG45" s="987"/>
      <c r="JOH45" s="987"/>
      <c r="JOI45" s="987"/>
      <c r="JOJ45" s="987"/>
      <c r="JOK45" s="987"/>
      <c r="JOL45" s="987"/>
      <c r="JOM45" s="987"/>
      <c r="JON45" s="987"/>
      <c r="JOO45" s="987"/>
      <c r="JOP45" s="987"/>
      <c r="JOQ45" s="987"/>
      <c r="JOR45" s="987"/>
      <c r="JOS45" s="987"/>
      <c r="JOT45" s="987"/>
      <c r="JOU45" s="987"/>
      <c r="JOV45" s="987"/>
      <c r="JOW45" s="987"/>
      <c r="JOX45" s="987"/>
      <c r="JOY45" s="987"/>
      <c r="JOZ45" s="987"/>
      <c r="JPA45" s="987"/>
      <c r="JPB45" s="987"/>
      <c r="JPC45" s="987"/>
      <c r="JPD45" s="987"/>
      <c r="JPE45" s="987"/>
      <c r="JPF45" s="987"/>
      <c r="JPG45" s="987"/>
      <c r="JPH45" s="987"/>
      <c r="JPI45" s="987"/>
      <c r="JPJ45" s="987"/>
      <c r="JPK45" s="987"/>
      <c r="JPL45" s="987"/>
      <c r="JPM45" s="987"/>
      <c r="JPN45" s="987"/>
      <c r="JPO45" s="987"/>
      <c r="JPP45" s="987"/>
      <c r="JPQ45" s="987"/>
      <c r="JPR45" s="987"/>
      <c r="JPS45" s="987"/>
      <c r="JPT45" s="987"/>
      <c r="JPU45" s="987"/>
      <c r="JPV45" s="987"/>
      <c r="JPW45" s="987"/>
      <c r="JPX45" s="987"/>
      <c r="JPY45" s="987"/>
      <c r="JPZ45" s="987"/>
      <c r="JQA45" s="987"/>
      <c r="JQB45" s="987"/>
      <c r="JQC45" s="987"/>
      <c r="JQD45" s="987"/>
      <c r="JQE45" s="987"/>
      <c r="JQF45" s="987"/>
      <c r="JQG45" s="987"/>
      <c r="JQH45" s="987"/>
      <c r="JQI45" s="987"/>
      <c r="JQJ45" s="987"/>
      <c r="JQK45" s="987"/>
      <c r="JQL45" s="987"/>
      <c r="JQM45" s="987"/>
      <c r="JQN45" s="987"/>
      <c r="JQO45" s="987"/>
      <c r="JQP45" s="987"/>
      <c r="JQQ45" s="987"/>
      <c r="JQR45" s="987"/>
      <c r="JQS45" s="987"/>
      <c r="JQT45" s="987"/>
      <c r="JQU45" s="987"/>
      <c r="JQV45" s="987"/>
      <c r="JQW45" s="987"/>
      <c r="JQX45" s="987"/>
      <c r="JQY45" s="987"/>
      <c r="JQZ45" s="987"/>
      <c r="JRA45" s="987"/>
      <c r="JRB45" s="987"/>
      <c r="JRC45" s="987"/>
      <c r="JRD45" s="987"/>
      <c r="JRE45" s="987"/>
      <c r="JRF45" s="987"/>
      <c r="JRG45" s="987"/>
      <c r="JRH45" s="987"/>
      <c r="JRI45" s="987"/>
      <c r="JRJ45" s="987"/>
      <c r="JRK45" s="987"/>
      <c r="JRL45" s="987"/>
      <c r="JRM45" s="987"/>
      <c r="JRN45" s="987"/>
      <c r="JRO45" s="987"/>
      <c r="JRP45" s="987"/>
      <c r="JRQ45" s="987"/>
      <c r="JRR45" s="987"/>
      <c r="JRS45" s="987"/>
      <c r="JRT45" s="987"/>
      <c r="JRU45" s="987"/>
      <c r="JRV45" s="987"/>
      <c r="JRW45" s="987"/>
      <c r="JRX45" s="987"/>
      <c r="JRY45" s="987"/>
      <c r="JRZ45" s="987"/>
      <c r="JSA45" s="987"/>
      <c r="JSB45" s="987"/>
      <c r="JSC45" s="987"/>
      <c r="JSD45" s="987"/>
      <c r="JSE45" s="987"/>
      <c r="JSF45" s="987"/>
      <c r="JSG45" s="987"/>
      <c r="JSH45" s="987"/>
      <c r="JSI45" s="987"/>
      <c r="JSJ45" s="987"/>
      <c r="JSK45" s="987"/>
      <c r="JSL45" s="987"/>
      <c r="JSM45" s="987"/>
      <c r="JSN45" s="987"/>
      <c r="JSO45" s="987"/>
      <c r="JSP45" s="987"/>
      <c r="JSQ45" s="987"/>
      <c r="JSR45" s="987"/>
      <c r="JSS45" s="987"/>
      <c r="JST45" s="987"/>
      <c r="JSU45" s="987"/>
      <c r="JSV45" s="987"/>
      <c r="JSW45" s="987"/>
      <c r="JSX45" s="987"/>
      <c r="JSY45" s="987"/>
      <c r="JSZ45" s="987"/>
      <c r="JTA45" s="987"/>
      <c r="JTB45" s="987"/>
      <c r="JTC45" s="987"/>
      <c r="JTD45" s="987"/>
      <c r="JTE45" s="987"/>
      <c r="JTF45" s="987"/>
      <c r="JTG45" s="987"/>
      <c r="JTH45" s="987"/>
      <c r="JTI45" s="987"/>
      <c r="JTJ45" s="987"/>
      <c r="JTK45" s="987"/>
      <c r="JTL45" s="987"/>
      <c r="JTM45" s="987"/>
      <c r="JTN45" s="987"/>
      <c r="JTO45" s="987"/>
      <c r="JTP45" s="987"/>
      <c r="JTQ45" s="987"/>
      <c r="JTR45" s="987"/>
      <c r="JTS45" s="987"/>
      <c r="JTT45" s="987"/>
      <c r="JTU45" s="987"/>
      <c r="JTV45" s="987"/>
      <c r="JTW45" s="987"/>
      <c r="JTX45" s="987"/>
      <c r="JTY45" s="987"/>
      <c r="JTZ45" s="987"/>
      <c r="JUA45" s="987"/>
      <c r="JUB45" s="987"/>
      <c r="JUC45" s="987"/>
      <c r="JUD45" s="987"/>
      <c r="JUE45" s="987"/>
      <c r="JUF45" s="987"/>
      <c r="JUG45" s="987"/>
      <c r="JUH45" s="987"/>
      <c r="JUI45" s="987"/>
      <c r="JUJ45" s="987"/>
      <c r="JUK45" s="987"/>
      <c r="JUL45" s="987"/>
      <c r="JUM45" s="987"/>
      <c r="JUN45" s="987"/>
      <c r="JUO45" s="987"/>
      <c r="JUP45" s="987"/>
      <c r="JUQ45" s="987"/>
      <c r="JUR45" s="987"/>
      <c r="JUS45" s="987"/>
      <c r="JUT45" s="987"/>
      <c r="JUU45" s="987"/>
      <c r="JUV45" s="987"/>
      <c r="JUW45" s="987"/>
      <c r="JUX45" s="987"/>
      <c r="JUY45" s="987"/>
      <c r="JUZ45" s="987"/>
      <c r="JVA45" s="987"/>
      <c r="JVB45" s="987"/>
      <c r="JVC45" s="987"/>
      <c r="JVD45" s="987"/>
      <c r="JVE45" s="987"/>
      <c r="JVF45" s="987"/>
      <c r="JVG45" s="987"/>
      <c r="JVH45" s="987"/>
      <c r="JVI45" s="987"/>
      <c r="JVJ45" s="987"/>
      <c r="JVK45" s="987"/>
      <c r="JVL45" s="987"/>
      <c r="JVM45" s="987"/>
      <c r="JVN45" s="987"/>
      <c r="JVO45" s="987"/>
      <c r="JVP45" s="987"/>
      <c r="JVQ45" s="987"/>
      <c r="JVR45" s="987"/>
      <c r="JVS45" s="987"/>
      <c r="JVT45" s="987"/>
      <c r="JVU45" s="987"/>
      <c r="JVV45" s="987"/>
      <c r="JVW45" s="987"/>
      <c r="JVX45" s="987"/>
      <c r="JVY45" s="987"/>
      <c r="JVZ45" s="987"/>
      <c r="JWA45" s="987"/>
      <c r="JWB45" s="987"/>
      <c r="JWC45" s="987"/>
      <c r="JWD45" s="987"/>
      <c r="JWE45" s="987"/>
      <c r="JWF45" s="987"/>
      <c r="JWG45" s="987"/>
      <c r="JWH45" s="987"/>
      <c r="JWI45" s="987"/>
      <c r="JWJ45" s="987"/>
      <c r="JWK45" s="987"/>
      <c r="JWL45" s="987"/>
      <c r="JWM45" s="987"/>
      <c r="JWN45" s="987"/>
      <c r="JWO45" s="987"/>
      <c r="JWP45" s="987"/>
      <c r="JWQ45" s="987"/>
      <c r="JWR45" s="987"/>
      <c r="JWS45" s="987"/>
      <c r="JWT45" s="987"/>
      <c r="JWU45" s="987"/>
      <c r="JWV45" s="987"/>
      <c r="JWW45" s="987"/>
      <c r="JWX45" s="987"/>
      <c r="JWY45" s="987"/>
      <c r="JWZ45" s="987"/>
      <c r="JXA45" s="987"/>
      <c r="JXB45" s="987"/>
      <c r="JXC45" s="987"/>
      <c r="JXD45" s="987"/>
      <c r="JXE45" s="987"/>
      <c r="JXF45" s="987"/>
      <c r="JXG45" s="987"/>
      <c r="JXH45" s="987"/>
      <c r="JXI45" s="987"/>
      <c r="JXJ45" s="987"/>
      <c r="JXK45" s="987"/>
      <c r="JXL45" s="987"/>
      <c r="JXM45" s="987"/>
      <c r="JXN45" s="987"/>
      <c r="JXO45" s="987"/>
      <c r="JXP45" s="987"/>
      <c r="JXQ45" s="987"/>
      <c r="JXR45" s="987"/>
      <c r="JXS45" s="987"/>
      <c r="JXT45" s="987"/>
      <c r="JXU45" s="987"/>
      <c r="JXV45" s="987"/>
      <c r="JXW45" s="987"/>
      <c r="JXX45" s="987"/>
      <c r="JXY45" s="987"/>
      <c r="JXZ45" s="987"/>
      <c r="JYA45" s="987"/>
      <c r="JYB45" s="987"/>
      <c r="JYC45" s="987"/>
      <c r="JYD45" s="987"/>
      <c r="JYE45" s="987"/>
      <c r="JYF45" s="987"/>
      <c r="JYG45" s="987"/>
      <c r="JYH45" s="987"/>
      <c r="JYI45" s="987"/>
      <c r="JYJ45" s="987"/>
      <c r="JYK45" s="987"/>
      <c r="JYL45" s="987"/>
      <c r="JYM45" s="987"/>
      <c r="JYN45" s="987"/>
      <c r="JYO45" s="987"/>
      <c r="JYP45" s="987"/>
      <c r="JYQ45" s="987"/>
      <c r="JYR45" s="987"/>
      <c r="JYS45" s="987"/>
      <c r="JYT45" s="987"/>
      <c r="JYU45" s="987"/>
      <c r="JYV45" s="987"/>
      <c r="JYW45" s="987"/>
      <c r="JYX45" s="987"/>
      <c r="JYY45" s="987"/>
      <c r="JYZ45" s="987"/>
      <c r="JZA45" s="987"/>
      <c r="JZB45" s="987"/>
      <c r="JZC45" s="987"/>
      <c r="JZD45" s="987"/>
      <c r="JZE45" s="987"/>
      <c r="JZF45" s="987"/>
      <c r="JZG45" s="987"/>
      <c r="JZH45" s="987"/>
      <c r="JZI45" s="987"/>
      <c r="JZJ45" s="987"/>
      <c r="JZK45" s="987"/>
      <c r="JZL45" s="987"/>
      <c r="JZM45" s="987"/>
      <c r="JZN45" s="987"/>
      <c r="JZO45" s="987"/>
      <c r="JZP45" s="987"/>
      <c r="JZQ45" s="987"/>
      <c r="JZR45" s="987"/>
      <c r="JZS45" s="987"/>
      <c r="JZT45" s="987"/>
      <c r="JZU45" s="987"/>
      <c r="JZV45" s="987"/>
      <c r="JZW45" s="987"/>
      <c r="JZX45" s="987"/>
      <c r="JZY45" s="987"/>
      <c r="JZZ45" s="987"/>
      <c r="KAA45" s="987"/>
      <c r="KAB45" s="987"/>
      <c r="KAC45" s="987"/>
      <c r="KAD45" s="987"/>
      <c r="KAE45" s="987"/>
      <c r="KAF45" s="987"/>
      <c r="KAG45" s="987"/>
      <c r="KAH45" s="987"/>
      <c r="KAI45" s="987"/>
      <c r="KAJ45" s="987"/>
      <c r="KAK45" s="987"/>
      <c r="KAL45" s="987"/>
      <c r="KAM45" s="987"/>
      <c r="KAN45" s="987"/>
      <c r="KAO45" s="987"/>
      <c r="KAP45" s="987"/>
      <c r="KAQ45" s="987"/>
      <c r="KAR45" s="987"/>
      <c r="KAS45" s="987"/>
      <c r="KAT45" s="987"/>
      <c r="KAU45" s="987"/>
      <c r="KAV45" s="987"/>
      <c r="KAW45" s="987"/>
      <c r="KAX45" s="987"/>
      <c r="KAY45" s="987"/>
      <c r="KAZ45" s="987"/>
      <c r="KBA45" s="987"/>
      <c r="KBB45" s="987"/>
      <c r="KBC45" s="987"/>
      <c r="KBD45" s="987"/>
      <c r="KBE45" s="987"/>
      <c r="KBF45" s="987"/>
      <c r="KBG45" s="987"/>
      <c r="KBH45" s="987"/>
      <c r="KBI45" s="987"/>
      <c r="KBJ45" s="987"/>
      <c r="KBK45" s="987"/>
      <c r="KBL45" s="987"/>
      <c r="KBM45" s="987"/>
      <c r="KBN45" s="987"/>
      <c r="KBO45" s="987"/>
      <c r="KBP45" s="987"/>
      <c r="KBQ45" s="987"/>
      <c r="KBR45" s="987"/>
      <c r="KBS45" s="987"/>
      <c r="KBT45" s="987"/>
      <c r="KBU45" s="987"/>
      <c r="KBV45" s="987"/>
      <c r="KBW45" s="987"/>
      <c r="KBX45" s="987"/>
      <c r="KBY45" s="987"/>
      <c r="KBZ45" s="987"/>
      <c r="KCA45" s="987"/>
      <c r="KCB45" s="987"/>
      <c r="KCC45" s="987"/>
      <c r="KCD45" s="987"/>
      <c r="KCE45" s="987"/>
      <c r="KCF45" s="987"/>
      <c r="KCG45" s="987"/>
      <c r="KCH45" s="987"/>
      <c r="KCI45" s="987"/>
      <c r="KCJ45" s="987"/>
      <c r="KCK45" s="987"/>
      <c r="KCL45" s="987"/>
      <c r="KCM45" s="987"/>
      <c r="KCN45" s="987"/>
      <c r="KCO45" s="987"/>
      <c r="KCP45" s="987"/>
      <c r="KCQ45" s="987"/>
      <c r="KCR45" s="987"/>
      <c r="KCS45" s="987"/>
      <c r="KCT45" s="987"/>
      <c r="KCU45" s="987"/>
      <c r="KCV45" s="987"/>
      <c r="KCW45" s="987"/>
      <c r="KCX45" s="987"/>
      <c r="KCY45" s="987"/>
      <c r="KCZ45" s="987"/>
      <c r="KDA45" s="987"/>
      <c r="KDB45" s="987"/>
      <c r="KDC45" s="987"/>
      <c r="KDD45" s="987"/>
      <c r="KDE45" s="987"/>
      <c r="KDF45" s="987"/>
      <c r="KDG45" s="987"/>
      <c r="KDH45" s="987"/>
      <c r="KDI45" s="987"/>
      <c r="KDJ45" s="987"/>
      <c r="KDK45" s="987"/>
      <c r="KDL45" s="987"/>
      <c r="KDM45" s="987"/>
      <c r="KDN45" s="987"/>
      <c r="KDO45" s="987"/>
      <c r="KDP45" s="987"/>
      <c r="KDQ45" s="987"/>
      <c r="KDR45" s="987"/>
      <c r="KDS45" s="987"/>
      <c r="KDT45" s="987"/>
      <c r="KDU45" s="987"/>
      <c r="KDV45" s="987"/>
      <c r="KDW45" s="987"/>
      <c r="KDX45" s="987"/>
      <c r="KDY45" s="987"/>
      <c r="KDZ45" s="987"/>
      <c r="KEA45" s="987"/>
      <c r="KEB45" s="987"/>
      <c r="KEC45" s="987"/>
      <c r="KED45" s="987"/>
      <c r="KEE45" s="987"/>
      <c r="KEF45" s="987"/>
      <c r="KEG45" s="987"/>
      <c r="KEH45" s="987"/>
      <c r="KEI45" s="987"/>
      <c r="KEJ45" s="987"/>
      <c r="KEK45" s="987"/>
      <c r="KEL45" s="987"/>
      <c r="KEM45" s="987"/>
      <c r="KEN45" s="987"/>
      <c r="KEO45" s="987"/>
      <c r="KEP45" s="987"/>
      <c r="KEQ45" s="987"/>
      <c r="KER45" s="987"/>
      <c r="KES45" s="987"/>
      <c r="KET45" s="987"/>
      <c r="KEU45" s="987"/>
      <c r="KEV45" s="987"/>
      <c r="KEW45" s="987"/>
      <c r="KEX45" s="987"/>
      <c r="KEY45" s="987"/>
      <c r="KEZ45" s="987"/>
      <c r="KFA45" s="987"/>
      <c r="KFB45" s="987"/>
      <c r="KFC45" s="987"/>
      <c r="KFD45" s="987"/>
      <c r="KFE45" s="987"/>
      <c r="KFF45" s="987"/>
      <c r="KFG45" s="987"/>
      <c r="KFH45" s="987"/>
      <c r="KFI45" s="987"/>
      <c r="KFJ45" s="987"/>
      <c r="KFK45" s="987"/>
      <c r="KFL45" s="987"/>
      <c r="KFM45" s="987"/>
      <c r="KFN45" s="987"/>
      <c r="KFO45" s="987"/>
      <c r="KFP45" s="987"/>
      <c r="KFQ45" s="987"/>
      <c r="KFR45" s="987"/>
      <c r="KFS45" s="987"/>
      <c r="KFT45" s="987"/>
      <c r="KFU45" s="987"/>
      <c r="KFV45" s="987"/>
      <c r="KFW45" s="987"/>
      <c r="KFX45" s="987"/>
      <c r="KFY45" s="987"/>
      <c r="KFZ45" s="987"/>
      <c r="KGA45" s="987"/>
      <c r="KGB45" s="987"/>
      <c r="KGC45" s="987"/>
      <c r="KGD45" s="987"/>
      <c r="KGE45" s="987"/>
      <c r="KGF45" s="987"/>
      <c r="KGG45" s="987"/>
      <c r="KGH45" s="987"/>
      <c r="KGI45" s="987"/>
      <c r="KGJ45" s="987"/>
      <c r="KGK45" s="987"/>
      <c r="KGL45" s="987"/>
      <c r="KGM45" s="987"/>
      <c r="KGN45" s="987"/>
      <c r="KGO45" s="987"/>
      <c r="KGP45" s="987"/>
      <c r="KGQ45" s="987"/>
      <c r="KGR45" s="987"/>
      <c r="KGS45" s="987"/>
      <c r="KGT45" s="987"/>
      <c r="KGU45" s="987"/>
      <c r="KGV45" s="987"/>
      <c r="KGW45" s="987"/>
      <c r="KGX45" s="987"/>
      <c r="KGY45" s="987"/>
      <c r="KGZ45" s="987"/>
      <c r="KHA45" s="987"/>
      <c r="KHB45" s="987"/>
      <c r="KHC45" s="987"/>
      <c r="KHD45" s="987"/>
      <c r="KHE45" s="987"/>
      <c r="KHF45" s="987"/>
      <c r="KHG45" s="987"/>
      <c r="KHH45" s="987"/>
      <c r="KHI45" s="987"/>
      <c r="KHJ45" s="987"/>
      <c r="KHK45" s="987"/>
      <c r="KHL45" s="987"/>
      <c r="KHM45" s="987"/>
      <c r="KHN45" s="987"/>
      <c r="KHO45" s="987"/>
      <c r="KHP45" s="987"/>
      <c r="KHQ45" s="987"/>
      <c r="KHR45" s="987"/>
      <c r="KHS45" s="987"/>
      <c r="KHT45" s="987"/>
      <c r="KHU45" s="987"/>
      <c r="KHV45" s="987"/>
      <c r="KHW45" s="987"/>
      <c r="KHX45" s="987"/>
      <c r="KHY45" s="987"/>
      <c r="KHZ45" s="987"/>
      <c r="KIA45" s="987"/>
      <c r="KIB45" s="987"/>
      <c r="KIC45" s="987"/>
      <c r="KID45" s="987"/>
      <c r="KIE45" s="987"/>
      <c r="KIF45" s="987"/>
      <c r="KIG45" s="987"/>
      <c r="KIH45" s="987"/>
      <c r="KII45" s="987"/>
      <c r="KIJ45" s="987"/>
      <c r="KIK45" s="987"/>
      <c r="KIL45" s="987"/>
      <c r="KIM45" s="987"/>
      <c r="KIN45" s="987"/>
      <c r="KIO45" s="987"/>
      <c r="KIP45" s="987"/>
      <c r="KIQ45" s="987"/>
      <c r="KIR45" s="987"/>
      <c r="KIS45" s="987"/>
      <c r="KIT45" s="987"/>
      <c r="KIU45" s="987"/>
      <c r="KIV45" s="987"/>
      <c r="KIW45" s="987"/>
      <c r="KIX45" s="987"/>
      <c r="KIY45" s="987"/>
      <c r="KIZ45" s="987"/>
      <c r="KJA45" s="987"/>
      <c r="KJB45" s="987"/>
      <c r="KJC45" s="987"/>
      <c r="KJD45" s="987"/>
      <c r="KJE45" s="987"/>
      <c r="KJF45" s="987"/>
      <c r="KJG45" s="987"/>
      <c r="KJH45" s="987"/>
      <c r="KJI45" s="987"/>
      <c r="KJJ45" s="987"/>
      <c r="KJK45" s="987"/>
      <c r="KJL45" s="987"/>
      <c r="KJM45" s="987"/>
      <c r="KJN45" s="987"/>
      <c r="KJO45" s="987"/>
      <c r="KJP45" s="987"/>
      <c r="KJQ45" s="987"/>
      <c r="KJR45" s="987"/>
      <c r="KJS45" s="987"/>
      <c r="KJT45" s="987"/>
      <c r="KJU45" s="987"/>
      <c r="KJV45" s="987"/>
      <c r="KJW45" s="987"/>
      <c r="KJX45" s="987"/>
      <c r="KJY45" s="987"/>
      <c r="KJZ45" s="987"/>
      <c r="KKA45" s="987"/>
      <c r="KKB45" s="987"/>
      <c r="KKC45" s="987"/>
      <c r="KKD45" s="987"/>
      <c r="KKE45" s="987"/>
      <c r="KKF45" s="987"/>
      <c r="KKG45" s="987"/>
      <c r="KKH45" s="987"/>
      <c r="KKI45" s="987"/>
      <c r="KKJ45" s="987"/>
      <c r="KKK45" s="987"/>
      <c r="KKL45" s="987"/>
      <c r="KKM45" s="987"/>
      <c r="KKN45" s="987"/>
      <c r="KKO45" s="987"/>
      <c r="KKP45" s="987"/>
      <c r="KKQ45" s="987"/>
      <c r="KKR45" s="987"/>
      <c r="KKS45" s="987"/>
      <c r="KKT45" s="987"/>
      <c r="KKU45" s="987"/>
      <c r="KKV45" s="987"/>
      <c r="KKW45" s="987"/>
      <c r="KKX45" s="987"/>
      <c r="KKY45" s="987"/>
      <c r="KKZ45" s="987"/>
      <c r="KLA45" s="987"/>
      <c r="KLB45" s="987"/>
      <c r="KLC45" s="987"/>
      <c r="KLD45" s="987"/>
      <c r="KLE45" s="987"/>
      <c r="KLF45" s="987"/>
      <c r="KLG45" s="987"/>
      <c r="KLH45" s="987"/>
      <c r="KLI45" s="987"/>
      <c r="KLJ45" s="987"/>
      <c r="KLK45" s="987"/>
      <c r="KLL45" s="987"/>
      <c r="KLM45" s="987"/>
      <c r="KLN45" s="987"/>
      <c r="KLO45" s="987"/>
      <c r="KLP45" s="987"/>
      <c r="KLQ45" s="987"/>
      <c r="KLR45" s="987"/>
      <c r="KLS45" s="987"/>
      <c r="KLT45" s="987"/>
      <c r="KLU45" s="987"/>
      <c r="KLV45" s="987"/>
      <c r="KLW45" s="987"/>
      <c r="KLX45" s="987"/>
      <c r="KLY45" s="987"/>
      <c r="KLZ45" s="987"/>
      <c r="KMA45" s="987"/>
      <c r="KMB45" s="987"/>
      <c r="KMC45" s="987"/>
      <c r="KMD45" s="987"/>
      <c r="KME45" s="987"/>
      <c r="KMF45" s="987"/>
      <c r="KMG45" s="987"/>
      <c r="KMH45" s="987"/>
      <c r="KMI45" s="987"/>
      <c r="KMJ45" s="987"/>
      <c r="KMK45" s="987"/>
      <c r="KML45" s="987"/>
      <c r="KMM45" s="987"/>
      <c r="KMN45" s="987"/>
      <c r="KMO45" s="987"/>
      <c r="KMP45" s="987"/>
      <c r="KMQ45" s="987"/>
      <c r="KMR45" s="987"/>
      <c r="KMS45" s="987"/>
      <c r="KMT45" s="987"/>
      <c r="KMU45" s="987"/>
      <c r="KMV45" s="987"/>
      <c r="KMW45" s="987"/>
      <c r="KMX45" s="987"/>
      <c r="KMY45" s="987"/>
      <c r="KMZ45" s="987"/>
      <c r="KNA45" s="987"/>
      <c r="KNB45" s="987"/>
      <c r="KNC45" s="987"/>
      <c r="KND45" s="987"/>
      <c r="KNE45" s="987"/>
      <c r="KNF45" s="987"/>
      <c r="KNG45" s="987"/>
      <c r="KNH45" s="987"/>
      <c r="KNI45" s="987"/>
      <c r="KNJ45" s="987"/>
      <c r="KNK45" s="987"/>
      <c r="KNL45" s="987"/>
      <c r="KNM45" s="987"/>
      <c r="KNN45" s="987"/>
      <c r="KNO45" s="987"/>
      <c r="KNP45" s="987"/>
      <c r="KNQ45" s="987"/>
      <c r="KNR45" s="987"/>
      <c r="KNS45" s="987"/>
      <c r="KNT45" s="987"/>
      <c r="KNU45" s="987"/>
      <c r="KNV45" s="987"/>
      <c r="KNW45" s="987"/>
      <c r="KNX45" s="987"/>
      <c r="KNY45" s="987"/>
      <c r="KNZ45" s="987"/>
      <c r="KOA45" s="987"/>
      <c r="KOB45" s="987"/>
      <c r="KOC45" s="987"/>
      <c r="KOD45" s="987"/>
      <c r="KOE45" s="987"/>
      <c r="KOF45" s="987"/>
      <c r="KOG45" s="987"/>
      <c r="KOH45" s="987"/>
      <c r="KOI45" s="987"/>
      <c r="KOJ45" s="987"/>
      <c r="KOK45" s="987"/>
      <c r="KOL45" s="987"/>
      <c r="KOM45" s="987"/>
      <c r="KON45" s="987"/>
      <c r="KOO45" s="987"/>
      <c r="KOP45" s="987"/>
      <c r="KOQ45" s="987"/>
      <c r="KOR45" s="987"/>
      <c r="KOS45" s="987"/>
      <c r="KOT45" s="987"/>
      <c r="KOU45" s="987"/>
      <c r="KOV45" s="987"/>
      <c r="KOW45" s="987"/>
      <c r="KOX45" s="987"/>
      <c r="KOY45" s="987"/>
      <c r="KOZ45" s="987"/>
      <c r="KPA45" s="987"/>
      <c r="KPB45" s="987"/>
      <c r="KPC45" s="987"/>
      <c r="KPD45" s="987"/>
      <c r="KPE45" s="987"/>
      <c r="KPF45" s="987"/>
      <c r="KPG45" s="987"/>
      <c r="KPH45" s="987"/>
      <c r="KPI45" s="987"/>
      <c r="KPJ45" s="987"/>
      <c r="KPK45" s="987"/>
      <c r="KPL45" s="987"/>
      <c r="KPM45" s="987"/>
      <c r="KPN45" s="987"/>
      <c r="KPO45" s="987"/>
      <c r="KPP45" s="987"/>
      <c r="KPQ45" s="987"/>
      <c r="KPR45" s="987"/>
      <c r="KPS45" s="987"/>
      <c r="KPT45" s="987"/>
      <c r="KPU45" s="987"/>
      <c r="KPV45" s="987"/>
      <c r="KPW45" s="987"/>
      <c r="KPX45" s="987"/>
      <c r="KPY45" s="987"/>
      <c r="KPZ45" s="987"/>
      <c r="KQA45" s="987"/>
      <c r="KQB45" s="987"/>
      <c r="KQC45" s="987"/>
      <c r="KQD45" s="987"/>
      <c r="KQE45" s="987"/>
      <c r="KQF45" s="987"/>
      <c r="KQG45" s="987"/>
      <c r="KQH45" s="987"/>
      <c r="KQI45" s="987"/>
      <c r="KQJ45" s="987"/>
      <c r="KQK45" s="987"/>
      <c r="KQL45" s="987"/>
      <c r="KQM45" s="987"/>
      <c r="KQN45" s="987"/>
      <c r="KQO45" s="987"/>
      <c r="KQP45" s="987"/>
      <c r="KQQ45" s="987"/>
      <c r="KQR45" s="987"/>
      <c r="KQS45" s="987"/>
      <c r="KQT45" s="987"/>
      <c r="KQU45" s="987"/>
      <c r="KQV45" s="987"/>
      <c r="KQW45" s="987"/>
      <c r="KQX45" s="987"/>
      <c r="KQY45" s="987"/>
      <c r="KQZ45" s="987"/>
      <c r="KRA45" s="987"/>
      <c r="KRB45" s="987"/>
      <c r="KRC45" s="987"/>
      <c r="KRD45" s="987"/>
      <c r="KRE45" s="987"/>
      <c r="KRF45" s="987"/>
      <c r="KRG45" s="987"/>
      <c r="KRH45" s="987"/>
      <c r="KRI45" s="987"/>
      <c r="KRJ45" s="987"/>
      <c r="KRK45" s="987"/>
      <c r="KRL45" s="987"/>
      <c r="KRM45" s="987"/>
      <c r="KRN45" s="987"/>
      <c r="KRO45" s="987"/>
      <c r="KRP45" s="987"/>
      <c r="KRQ45" s="987"/>
      <c r="KRR45" s="987"/>
      <c r="KRS45" s="987"/>
      <c r="KRT45" s="987"/>
      <c r="KRU45" s="987"/>
      <c r="KRV45" s="987"/>
      <c r="KRW45" s="987"/>
      <c r="KRX45" s="987"/>
      <c r="KRY45" s="987"/>
      <c r="KRZ45" s="987"/>
      <c r="KSA45" s="987"/>
      <c r="KSB45" s="987"/>
      <c r="KSC45" s="987"/>
      <c r="KSD45" s="987"/>
      <c r="KSE45" s="987"/>
      <c r="KSF45" s="987"/>
      <c r="KSG45" s="987"/>
      <c r="KSH45" s="987"/>
      <c r="KSI45" s="987"/>
      <c r="KSJ45" s="987"/>
      <c r="KSK45" s="987"/>
      <c r="KSL45" s="987"/>
      <c r="KSM45" s="987"/>
      <c r="KSN45" s="987"/>
      <c r="KSO45" s="987"/>
      <c r="KSP45" s="987"/>
      <c r="KSQ45" s="987"/>
      <c r="KSR45" s="987"/>
      <c r="KSS45" s="987"/>
      <c r="KST45" s="987"/>
      <c r="KSU45" s="987"/>
      <c r="KSV45" s="987"/>
      <c r="KSW45" s="987"/>
      <c r="KSX45" s="987"/>
      <c r="KSY45" s="987"/>
      <c r="KSZ45" s="987"/>
      <c r="KTA45" s="987"/>
      <c r="KTB45" s="987"/>
      <c r="KTC45" s="987"/>
      <c r="KTD45" s="987"/>
      <c r="KTE45" s="987"/>
      <c r="KTF45" s="987"/>
      <c r="KTG45" s="987"/>
      <c r="KTH45" s="987"/>
      <c r="KTI45" s="987"/>
      <c r="KTJ45" s="987"/>
      <c r="KTK45" s="987"/>
      <c r="KTL45" s="987"/>
      <c r="KTM45" s="987"/>
      <c r="KTN45" s="987"/>
      <c r="KTO45" s="987"/>
      <c r="KTP45" s="987"/>
      <c r="KTQ45" s="987"/>
      <c r="KTR45" s="987"/>
      <c r="KTS45" s="987"/>
      <c r="KTT45" s="987"/>
      <c r="KTU45" s="987"/>
      <c r="KTV45" s="987"/>
      <c r="KTW45" s="987"/>
      <c r="KTX45" s="987"/>
      <c r="KTY45" s="987"/>
      <c r="KTZ45" s="987"/>
      <c r="KUA45" s="987"/>
      <c r="KUB45" s="987"/>
      <c r="KUC45" s="987"/>
      <c r="KUD45" s="987"/>
      <c r="KUE45" s="987"/>
      <c r="KUF45" s="987"/>
      <c r="KUG45" s="987"/>
      <c r="KUH45" s="987"/>
      <c r="KUI45" s="987"/>
      <c r="KUJ45" s="987"/>
      <c r="KUK45" s="987"/>
      <c r="KUL45" s="987"/>
      <c r="KUM45" s="987"/>
      <c r="KUN45" s="987"/>
      <c r="KUO45" s="987"/>
      <c r="KUP45" s="987"/>
      <c r="KUQ45" s="987"/>
      <c r="KUR45" s="987"/>
      <c r="KUS45" s="987"/>
      <c r="KUT45" s="987"/>
      <c r="KUU45" s="987"/>
      <c r="KUV45" s="987"/>
      <c r="KUW45" s="987"/>
      <c r="KUX45" s="987"/>
      <c r="KUY45" s="987"/>
      <c r="KUZ45" s="987"/>
      <c r="KVA45" s="987"/>
      <c r="KVB45" s="987"/>
      <c r="KVC45" s="987"/>
      <c r="KVD45" s="987"/>
      <c r="KVE45" s="987"/>
      <c r="KVF45" s="987"/>
      <c r="KVG45" s="987"/>
      <c r="KVH45" s="987"/>
      <c r="KVI45" s="987"/>
      <c r="KVJ45" s="987"/>
      <c r="KVK45" s="987"/>
      <c r="KVL45" s="987"/>
      <c r="KVM45" s="987"/>
      <c r="KVN45" s="987"/>
      <c r="KVO45" s="987"/>
      <c r="KVP45" s="987"/>
      <c r="KVQ45" s="987"/>
      <c r="KVR45" s="987"/>
      <c r="KVS45" s="987"/>
      <c r="KVT45" s="987"/>
      <c r="KVU45" s="987"/>
      <c r="KVV45" s="987"/>
      <c r="KVW45" s="987"/>
      <c r="KVX45" s="987"/>
      <c r="KVY45" s="987"/>
      <c r="KVZ45" s="987"/>
      <c r="KWA45" s="987"/>
      <c r="KWB45" s="987"/>
      <c r="KWC45" s="987"/>
      <c r="KWD45" s="987"/>
      <c r="KWE45" s="987"/>
      <c r="KWF45" s="987"/>
      <c r="KWG45" s="987"/>
      <c r="KWH45" s="987"/>
      <c r="KWI45" s="987"/>
      <c r="KWJ45" s="987"/>
      <c r="KWK45" s="987"/>
      <c r="KWL45" s="987"/>
      <c r="KWM45" s="987"/>
      <c r="KWN45" s="987"/>
      <c r="KWO45" s="987"/>
      <c r="KWP45" s="987"/>
      <c r="KWQ45" s="987"/>
      <c r="KWR45" s="987"/>
      <c r="KWS45" s="987"/>
      <c r="KWT45" s="987"/>
      <c r="KWU45" s="987"/>
      <c r="KWV45" s="987"/>
      <c r="KWW45" s="987"/>
      <c r="KWX45" s="987"/>
      <c r="KWY45" s="987"/>
      <c r="KWZ45" s="987"/>
      <c r="KXA45" s="987"/>
      <c r="KXB45" s="987"/>
      <c r="KXC45" s="987"/>
      <c r="KXD45" s="987"/>
      <c r="KXE45" s="987"/>
      <c r="KXF45" s="987"/>
      <c r="KXG45" s="987"/>
      <c r="KXH45" s="987"/>
      <c r="KXI45" s="987"/>
      <c r="KXJ45" s="987"/>
      <c r="KXK45" s="987"/>
      <c r="KXL45" s="987"/>
      <c r="KXM45" s="987"/>
      <c r="KXN45" s="987"/>
      <c r="KXO45" s="987"/>
      <c r="KXP45" s="987"/>
      <c r="KXQ45" s="987"/>
      <c r="KXR45" s="987"/>
      <c r="KXS45" s="987"/>
      <c r="KXT45" s="987"/>
      <c r="KXU45" s="987"/>
      <c r="KXV45" s="987"/>
      <c r="KXW45" s="987"/>
      <c r="KXX45" s="987"/>
      <c r="KXY45" s="987"/>
      <c r="KXZ45" s="987"/>
      <c r="KYA45" s="987"/>
      <c r="KYB45" s="987"/>
      <c r="KYC45" s="987"/>
      <c r="KYD45" s="987"/>
      <c r="KYE45" s="987"/>
      <c r="KYF45" s="987"/>
      <c r="KYG45" s="987"/>
      <c r="KYH45" s="987"/>
      <c r="KYI45" s="987"/>
      <c r="KYJ45" s="987"/>
      <c r="KYK45" s="987"/>
      <c r="KYL45" s="987"/>
      <c r="KYM45" s="987"/>
      <c r="KYN45" s="987"/>
      <c r="KYO45" s="987"/>
      <c r="KYP45" s="987"/>
      <c r="KYQ45" s="987"/>
      <c r="KYR45" s="987"/>
      <c r="KYS45" s="987"/>
      <c r="KYT45" s="987"/>
      <c r="KYU45" s="987"/>
      <c r="KYV45" s="987"/>
      <c r="KYW45" s="987"/>
      <c r="KYX45" s="987"/>
      <c r="KYY45" s="987"/>
      <c r="KYZ45" s="987"/>
      <c r="KZA45" s="987"/>
      <c r="KZB45" s="987"/>
      <c r="KZC45" s="987"/>
      <c r="KZD45" s="987"/>
      <c r="KZE45" s="987"/>
      <c r="KZF45" s="987"/>
      <c r="KZG45" s="987"/>
      <c r="KZH45" s="987"/>
      <c r="KZI45" s="987"/>
      <c r="KZJ45" s="987"/>
      <c r="KZK45" s="987"/>
      <c r="KZL45" s="987"/>
      <c r="KZM45" s="987"/>
      <c r="KZN45" s="987"/>
      <c r="KZO45" s="987"/>
      <c r="KZP45" s="987"/>
      <c r="KZQ45" s="987"/>
      <c r="KZR45" s="987"/>
      <c r="KZS45" s="987"/>
      <c r="KZT45" s="987"/>
      <c r="KZU45" s="987"/>
      <c r="KZV45" s="987"/>
      <c r="KZW45" s="987"/>
      <c r="KZX45" s="987"/>
      <c r="KZY45" s="987"/>
      <c r="KZZ45" s="987"/>
      <c r="LAA45" s="987"/>
      <c r="LAB45" s="987"/>
      <c r="LAC45" s="987"/>
      <c r="LAD45" s="987"/>
      <c r="LAE45" s="987"/>
      <c r="LAF45" s="987"/>
      <c r="LAG45" s="987"/>
      <c r="LAH45" s="987"/>
      <c r="LAI45" s="987"/>
      <c r="LAJ45" s="987"/>
      <c r="LAK45" s="987"/>
      <c r="LAL45" s="987"/>
      <c r="LAM45" s="987"/>
      <c r="LAN45" s="987"/>
      <c r="LAO45" s="987"/>
      <c r="LAP45" s="987"/>
      <c r="LAQ45" s="987"/>
      <c r="LAR45" s="987"/>
      <c r="LAS45" s="987"/>
      <c r="LAT45" s="987"/>
      <c r="LAU45" s="987"/>
      <c r="LAV45" s="987"/>
      <c r="LAW45" s="987"/>
      <c r="LAX45" s="987"/>
      <c r="LAY45" s="987"/>
      <c r="LAZ45" s="987"/>
      <c r="LBA45" s="987"/>
      <c r="LBB45" s="987"/>
      <c r="LBC45" s="987"/>
      <c r="LBD45" s="987"/>
      <c r="LBE45" s="987"/>
      <c r="LBF45" s="987"/>
      <c r="LBG45" s="987"/>
      <c r="LBH45" s="987"/>
      <c r="LBI45" s="987"/>
      <c r="LBJ45" s="987"/>
      <c r="LBK45" s="987"/>
      <c r="LBL45" s="987"/>
      <c r="LBM45" s="987"/>
      <c r="LBN45" s="987"/>
      <c r="LBO45" s="987"/>
      <c r="LBP45" s="987"/>
      <c r="LBQ45" s="987"/>
      <c r="LBR45" s="987"/>
      <c r="LBS45" s="987"/>
      <c r="LBT45" s="987"/>
      <c r="LBU45" s="987"/>
      <c r="LBV45" s="987"/>
      <c r="LBW45" s="987"/>
      <c r="LBX45" s="987"/>
      <c r="LBY45" s="987"/>
      <c r="LBZ45" s="987"/>
      <c r="LCA45" s="987"/>
      <c r="LCB45" s="987"/>
      <c r="LCC45" s="987"/>
      <c r="LCD45" s="987"/>
      <c r="LCE45" s="987"/>
      <c r="LCF45" s="987"/>
      <c r="LCG45" s="987"/>
      <c r="LCH45" s="987"/>
      <c r="LCI45" s="987"/>
      <c r="LCJ45" s="987"/>
      <c r="LCK45" s="987"/>
      <c r="LCL45" s="987"/>
      <c r="LCM45" s="987"/>
      <c r="LCN45" s="987"/>
      <c r="LCO45" s="987"/>
      <c r="LCP45" s="987"/>
      <c r="LCQ45" s="987"/>
      <c r="LCR45" s="987"/>
      <c r="LCS45" s="987"/>
      <c r="LCT45" s="987"/>
      <c r="LCU45" s="987"/>
      <c r="LCV45" s="987"/>
      <c r="LCW45" s="987"/>
      <c r="LCX45" s="987"/>
      <c r="LCY45" s="987"/>
      <c r="LCZ45" s="987"/>
      <c r="LDA45" s="987"/>
      <c r="LDB45" s="987"/>
      <c r="LDC45" s="987"/>
      <c r="LDD45" s="987"/>
      <c r="LDE45" s="987"/>
      <c r="LDF45" s="987"/>
      <c r="LDG45" s="987"/>
      <c r="LDH45" s="987"/>
      <c r="LDI45" s="987"/>
      <c r="LDJ45" s="987"/>
      <c r="LDK45" s="987"/>
      <c r="LDL45" s="987"/>
      <c r="LDM45" s="987"/>
      <c r="LDN45" s="987"/>
      <c r="LDO45" s="987"/>
      <c r="LDP45" s="987"/>
      <c r="LDQ45" s="987"/>
      <c r="LDR45" s="987"/>
      <c r="LDS45" s="987"/>
      <c r="LDT45" s="987"/>
      <c r="LDU45" s="987"/>
      <c r="LDV45" s="987"/>
      <c r="LDW45" s="987"/>
      <c r="LDX45" s="987"/>
      <c r="LDY45" s="987"/>
      <c r="LDZ45" s="987"/>
      <c r="LEA45" s="987"/>
      <c r="LEB45" s="987"/>
      <c r="LEC45" s="987"/>
      <c r="LED45" s="987"/>
      <c r="LEE45" s="987"/>
      <c r="LEF45" s="987"/>
      <c r="LEG45" s="987"/>
      <c r="LEH45" s="987"/>
      <c r="LEI45" s="987"/>
      <c r="LEJ45" s="987"/>
      <c r="LEK45" s="987"/>
      <c r="LEL45" s="987"/>
      <c r="LEM45" s="987"/>
      <c r="LEN45" s="987"/>
      <c r="LEO45" s="987"/>
      <c r="LEP45" s="987"/>
      <c r="LEQ45" s="987"/>
      <c r="LER45" s="987"/>
      <c r="LES45" s="987"/>
      <c r="LET45" s="987"/>
      <c r="LEU45" s="987"/>
      <c r="LEV45" s="987"/>
      <c r="LEW45" s="987"/>
      <c r="LEX45" s="987"/>
      <c r="LEY45" s="987"/>
      <c r="LEZ45" s="987"/>
      <c r="LFA45" s="987"/>
      <c r="LFB45" s="987"/>
      <c r="LFC45" s="987"/>
      <c r="LFD45" s="987"/>
      <c r="LFE45" s="987"/>
      <c r="LFF45" s="987"/>
      <c r="LFG45" s="987"/>
      <c r="LFH45" s="987"/>
      <c r="LFI45" s="987"/>
      <c r="LFJ45" s="987"/>
      <c r="LFK45" s="987"/>
      <c r="LFL45" s="987"/>
      <c r="LFM45" s="987"/>
      <c r="LFN45" s="987"/>
      <c r="LFO45" s="987"/>
      <c r="LFP45" s="987"/>
      <c r="LFQ45" s="987"/>
      <c r="LFR45" s="987"/>
      <c r="LFS45" s="987"/>
      <c r="LFT45" s="987"/>
      <c r="LFU45" s="987"/>
      <c r="LFV45" s="987"/>
      <c r="LFW45" s="987"/>
      <c r="LFX45" s="987"/>
      <c r="LFY45" s="987"/>
      <c r="LFZ45" s="987"/>
      <c r="LGA45" s="987"/>
      <c r="LGB45" s="987"/>
      <c r="LGC45" s="987"/>
      <c r="LGD45" s="987"/>
      <c r="LGE45" s="987"/>
      <c r="LGF45" s="987"/>
      <c r="LGG45" s="987"/>
      <c r="LGH45" s="987"/>
      <c r="LGI45" s="987"/>
      <c r="LGJ45" s="987"/>
      <c r="LGK45" s="987"/>
      <c r="LGL45" s="987"/>
      <c r="LGM45" s="987"/>
      <c r="LGN45" s="987"/>
      <c r="LGO45" s="987"/>
      <c r="LGP45" s="987"/>
      <c r="LGQ45" s="987"/>
      <c r="LGR45" s="987"/>
      <c r="LGS45" s="987"/>
      <c r="LGT45" s="987"/>
      <c r="LGU45" s="987"/>
      <c r="LGV45" s="987"/>
      <c r="LGW45" s="987"/>
      <c r="LGX45" s="987"/>
      <c r="LGY45" s="987"/>
      <c r="LGZ45" s="987"/>
      <c r="LHA45" s="987"/>
      <c r="LHB45" s="987"/>
      <c r="LHC45" s="987"/>
      <c r="LHD45" s="987"/>
      <c r="LHE45" s="987"/>
      <c r="LHF45" s="987"/>
      <c r="LHG45" s="987"/>
      <c r="LHH45" s="987"/>
      <c r="LHI45" s="987"/>
      <c r="LHJ45" s="987"/>
      <c r="LHK45" s="987"/>
      <c r="LHL45" s="987"/>
      <c r="LHM45" s="987"/>
      <c r="LHN45" s="987"/>
      <c r="LHO45" s="987"/>
      <c r="LHP45" s="987"/>
      <c r="LHQ45" s="987"/>
      <c r="LHR45" s="987"/>
      <c r="LHS45" s="987"/>
      <c r="LHT45" s="987"/>
      <c r="LHU45" s="987"/>
      <c r="LHV45" s="987"/>
      <c r="LHW45" s="987"/>
      <c r="LHX45" s="987"/>
      <c r="LHY45" s="987"/>
      <c r="LHZ45" s="987"/>
      <c r="LIA45" s="987"/>
      <c r="LIB45" s="987"/>
      <c r="LIC45" s="987"/>
      <c r="LID45" s="987"/>
      <c r="LIE45" s="987"/>
      <c r="LIF45" s="987"/>
      <c r="LIG45" s="987"/>
      <c r="LIH45" s="987"/>
      <c r="LII45" s="987"/>
      <c r="LIJ45" s="987"/>
      <c r="LIK45" s="987"/>
      <c r="LIL45" s="987"/>
      <c r="LIM45" s="987"/>
      <c r="LIN45" s="987"/>
      <c r="LIO45" s="987"/>
      <c r="LIP45" s="987"/>
      <c r="LIQ45" s="987"/>
      <c r="LIR45" s="987"/>
      <c r="LIS45" s="987"/>
      <c r="LIT45" s="987"/>
      <c r="LIU45" s="987"/>
      <c r="LIV45" s="987"/>
      <c r="LIW45" s="987"/>
      <c r="LIX45" s="987"/>
      <c r="LIY45" s="987"/>
      <c r="LIZ45" s="987"/>
      <c r="LJA45" s="987"/>
      <c r="LJB45" s="987"/>
      <c r="LJC45" s="987"/>
      <c r="LJD45" s="987"/>
      <c r="LJE45" s="987"/>
      <c r="LJF45" s="987"/>
      <c r="LJG45" s="987"/>
      <c r="LJH45" s="987"/>
      <c r="LJI45" s="987"/>
      <c r="LJJ45" s="987"/>
      <c r="LJK45" s="987"/>
      <c r="LJL45" s="987"/>
      <c r="LJM45" s="987"/>
      <c r="LJN45" s="987"/>
      <c r="LJO45" s="987"/>
      <c r="LJP45" s="987"/>
      <c r="LJQ45" s="987"/>
      <c r="LJR45" s="987"/>
      <c r="LJS45" s="987"/>
      <c r="LJT45" s="987"/>
      <c r="LJU45" s="987"/>
      <c r="LJV45" s="987"/>
      <c r="LJW45" s="987"/>
      <c r="LJX45" s="987"/>
      <c r="LJY45" s="987"/>
      <c r="LJZ45" s="987"/>
      <c r="LKA45" s="987"/>
      <c r="LKB45" s="987"/>
      <c r="LKC45" s="987"/>
      <c r="LKD45" s="987"/>
      <c r="LKE45" s="987"/>
      <c r="LKF45" s="987"/>
      <c r="LKG45" s="987"/>
      <c r="LKH45" s="987"/>
      <c r="LKI45" s="987"/>
      <c r="LKJ45" s="987"/>
      <c r="LKK45" s="987"/>
      <c r="LKL45" s="987"/>
      <c r="LKM45" s="987"/>
      <c r="LKN45" s="987"/>
      <c r="LKO45" s="987"/>
      <c r="LKP45" s="987"/>
      <c r="LKQ45" s="987"/>
      <c r="LKR45" s="987"/>
      <c r="LKS45" s="987"/>
      <c r="LKT45" s="987"/>
      <c r="LKU45" s="987"/>
      <c r="LKV45" s="987"/>
      <c r="LKW45" s="987"/>
      <c r="LKX45" s="987"/>
      <c r="LKY45" s="987"/>
      <c r="LKZ45" s="987"/>
      <c r="LLA45" s="987"/>
      <c r="LLB45" s="987"/>
      <c r="LLC45" s="987"/>
      <c r="LLD45" s="987"/>
      <c r="LLE45" s="987"/>
      <c r="LLF45" s="987"/>
      <c r="LLG45" s="987"/>
      <c r="LLH45" s="987"/>
      <c r="LLI45" s="987"/>
      <c r="LLJ45" s="987"/>
      <c r="LLK45" s="987"/>
      <c r="LLL45" s="987"/>
      <c r="LLM45" s="987"/>
      <c r="LLN45" s="987"/>
      <c r="LLO45" s="987"/>
      <c r="LLP45" s="987"/>
      <c r="LLQ45" s="987"/>
      <c r="LLR45" s="987"/>
      <c r="LLS45" s="987"/>
      <c r="LLT45" s="987"/>
      <c r="LLU45" s="987"/>
      <c r="LLV45" s="987"/>
      <c r="LLW45" s="987"/>
      <c r="LLX45" s="987"/>
      <c r="LLY45" s="987"/>
      <c r="LLZ45" s="987"/>
      <c r="LMA45" s="987"/>
      <c r="LMB45" s="987"/>
      <c r="LMC45" s="987"/>
      <c r="LMD45" s="987"/>
      <c r="LME45" s="987"/>
      <c r="LMF45" s="987"/>
      <c r="LMG45" s="987"/>
      <c r="LMH45" s="987"/>
      <c r="LMI45" s="987"/>
      <c r="LMJ45" s="987"/>
      <c r="LMK45" s="987"/>
      <c r="LML45" s="987"/>
      <c r="LMM45" s="987"/>
      <c r="LMN45" s="987"/>
      <c r="LMO45" s="987"/>
      <c r="LMP45" s="987"/>
      <c r="LMQ45" s="987"/>
      <c r="LMR45" s="987"/>
      <c r="LMS45" s="987"/>
      <c r="LMT45" s="987"/>
      <c r="LMU45" s="987"/>
      <c r="LMV45" s="987"/>
      <c r="LMW45" s="987"/>
      <c r="LMX45" s="987"/>
      <c r="LMY45" s="987"/>
      <c r="LMZ45" s="987"/>
      <c r="LNA45" s="987"/>
      <c r="LNB45" s="987"/>
      <c r="LNC45" s="987"/>
      <c r="LND45" s="987"/>
      <c r="LNE45" s="987"/>
      <c r="LNF45" s="987"/>
      <c r="LNG45" s="987"/>
      <c r="LNH45" s="987"/>
      <c r="LNI45" s="987"/>
      <c r="LNJ45" s="987"/>
      <c r="LNK45" s="987"/>
      <c r="LNL45" s="987"/>
      <c r="LNM45" s="987"/>
      <c r="LNN45" s="987"/>
      <c r="LNO45" s="987"/>
      <c r="LNP45" s="987"/>
      <c r="LNQ45" s="987"/>
      <c r="LNR45" s="987"/>
      <c r="LNS45" s="987"/>
      <c r="LNT45" s="987"/>
      <c r="LNU45" s="987"/>
      <c r="LNV45" s="987"/>
      <c r="LNW45" s="987"/>
      <c r="LNX45" s="987"/>
      <c r="LNY45" s="987"/>
      <c r="LNZ45" s="987"/>
      <c r="LOA45" s="987"/>
      <c r="LOB45" s="987"/>
      <c r="LOC45" s="987"/>
      <c r="LOD45" s="987"/>
      <c r="LOE45" s="987"/>
      <c r="LOF45" s="987"/>
      <c r="LOG45" s="987"/>
      <c r="LOH45" s="987"/>
      <c r="LOI45" s="987"/>
      <c r="LOJ45" s="987"/>
      <c r="LOK45" s="987"/>
      <c r="LOL45" s="987"/>
      <c r="LOM45" s="987"/>
      <c r="LON45" s="987"/>
      <c r="LOO45" s="987"/>
      <c r="LOP45" s="987"/>
      <c r="LOQ45" s="987"/>
      <c r="LOR45" s="987"/>
      <c r="LOS45" s="987"/>
      <c r="LOT45" s="987"/>
      <c r="LOU45" s="987"/>
      <c r="LOV45" s="987"/>
      <c r="LOW45" s="987"/>
      <c r="LOX45" s="987"/>
      <c r="LOY45" s="987"/>
      <c r="LOZ45" s="987"/>
      <c r="LPA45" s="987"/>
      <c r="LPB45" s="987"/>
      <c r="LPC45" s="987"/>
      <c r="LPD45" s="987"/>
      <c r="LPE45" s="987"/>
      <c r="LPF45" s="987"/>
      <c r="LPG45" s="987"/>
      <c r="LPH45" s="987"/>
      <c r="LPI45" s="987"/>
      <c r="LPJ45" s="987"/>
      <c r="LPK45" s="987"/>
      <c r="LPL45" s="987"/>
      <c r="LPM45" s="987"/>
      <c r="LPN45" s="987"/>
      <c r="LPO45" s="987"/>
      <c r="LPP45" s="987"/>
      <c r="LPQ45" s="987"/>
      <c r="LPR45" s="987"/>
      <c r="LPS45" s="987"/>
      <c r="LPT45" s="987"/>
      <c r="LPU45" s="987"/>
      <c r="LPV45" s="987"/>
      <c r="LPW45" s="987"/>
      <c r="LPX45" s="987"/>
      <c r="LPY45" s="987"/>
      <c r="LPZ45" s="987"/>
      <c r="LQA45" s="987"/>
      <c r="LQB45" s="987"/>
      <c r="LQC45" s="987"/>
      <c r="LQD45" s="987"/>
      <c r="LQE45" s="987"/>
      <c r="LQF45" s="987"/>
      <c r="LQG45" s="987"/>
      <c r="LQH45" s="987"/>
      <c r="LQI45" s="987"/>
      <c r="LQJ45" s="987"/>
      <c r="LQK45" s="987"/>
      <c r="LQL45" s="987"/>
      <c r="LQM45" s="987"/>
      <c r="LQN45" s="987"/>
      <c r="LQO45" s="987"/>
      <c r="LQP45" s="987"/>
      <c r="LQQ45" s="987"/>
      <c r="LQR45" s="987"/>
      <c r="LQS45" s="987"/>
      <c r="LQT45" s="987"/>
      <c r="LQU45" s="987"/>
      <c r="LQV45" s="987"/>
      <c r="LQW45" s="987"/>
      <c r="LQX45" s="987"/>
      <c r="LQY45" s="987"/>
      <c r="LQZ45" s="987"/>
      <c r="LRA45" s="987"/>
      <c r="LRB45" s="987"/>
      <c r="LRC45" s="987"/>
      <c r="LRD45" s="987"/>
      <c r="LRE45" s="987"/>
      <c r="LRF45" s="987"/>
      <c r="LRG45" s="987"/>
      <c r="LRH45" s="987"/>
      <c r="LRI45" s="987"/>
      <c r="LRJ45" s="987"/>
      <c r="LRK45" s="987"/>
      <c r="LRL45" s="987"/>
      <c r="LRM45" s="987"/>
      <c r="LRN45" s="987"/>
      <c r="LRO45" s="987"/>
      <c r="LRP45" s="987"/>
      <c r="LRQ45" s="987"/>
      <c r="LRR45" s="987"/>
      <c r="LRS45" s="987"/>
      <c r="LRT45" s="987"/>
      <c r="LRU45" s="987"/>
      <c r="LRV45" s="987"/>
      <c r="LRW45" s="987"/>
      <c r="LRX45" s="987"/>
      <c r="LRY45" s="987"/>
      <c r="LRZ45" s="987"/>
      <c r="LSA45" s="987"/>
      <c r="LSB45" s="987"/>
      <c r="LSC45" s="987"/>
      <c r="LSD45" s="987"/>
      <c r="LSE45" s="987"/>
      <c r="LSF45" s="987"/>
      <c r="LSG45" s="987"/>
      <c r="LSH45" s="987"/>
      <c r="LSI45" s="987"/>
      <c r="LSJ45" s="987"/>
      <c r="LSK45" s="987"/>
      <c r="LSL45" s="987"/>
      <c r="LSM45" s="987"/>
      <c r="LSN45" s="987"/>
      <c r="LSO45" s="987"/>
      <c r="LSP45" s="987"/>
      <c r="LSQ45" s="987"/>
      <c r="LSR45" s="987"/>
      <c r="LSS45" s="987"/>
      <c r="LST45" s="987"/>
      <c r="LSU45" s="987"/>
      <c r="LSV45" s="987"/>
      <c r="LSW45" s="987"/>
      <c r="LSX45" s="987"/>
      <c r="LSY45" s="987"/>
      <c r="LSZ45" s="987"/>
      <c r="LTA45" s="987"/>
      <c r="LTB45" s="987"/>
      <c r="LTC45" s="987"/>
      <c r="LTD45" s="987"/>
      <c r="LTE45" s="987"/>
      <c r="LTF45" s="987"/>
      <c r="LTG45" s="987"/>
      <c r="LTH45" s="987"/>
      <c r="LTI45" s="987"/>
      <c r="LTJ45" s="987"/>
      <c r="LTK45" s="987"/>
      <c r="LTL45" s="987"/>
      <c r="LTM45" s="987"/>
      <c r="LTN45" s="987"/>
      <c r="LTO45" s="987"/>
      <c r="LTP45" s="987"/>
      <c r="LTQ45" s="987"/>
      <c r="LTR45" s="987"/>
      <c r="LTS45" s="987"/>
      <c r="LTT45" s="987"/>
      <c r="LTU45" s="987"/>
      <c r="LTV45" s="987"/>
      <c r="LTW45" s="987"/>
      <c r="LTX45" s="987"/>
      <c r="LTY45" s="987"/>
      <c r="LTZ45" s="987"/>
      <c r="LUA45" s="987"/>
      <c r="LUB45" s="987"/>
      <c r="LUC45" s="987"/>
      <c r="LUD45" s="987"/>
      <c r="LUE45" s="987"/>
      <c r="LUF45" s="987"/>
      <c r="LUG45" s="987"/>
      <c r="LUH45" s="987"/>
      <c r="LUI45" s="987"/>
      <c r="LUJ45" s="987"/>
      <c r="LUK45" s="987"/>
      <c r="LUL45" s="987"/>
      <c r="LUM45" s="987"/>
      <c r="LUN45" s="987"/>
      <c r="LUO45" s="987"/>
      <c r="LUP45" s="987"/>
      <c r="LUQ45" s="987"/>
      <c r="LUR45" s="987"/>
      <c r="LUS45" s="987"/>
      <c r="LUT45" s="987"/>
      <c r="LUU45" s="987"/>
      <c r="LUV45" s="987"/>
      <c r="LUW45" s="987"/>
      <c r="LUX45" s="987"/>
      <c r="LUY45" s="987"/>
      <c r="LUZ45" s="987"/>
      <c r="LVA45" s="987"/>
      <c r="LVB45" s="987"/>
      <c r="LVC45" s="987"/>
      <c r="LVD45" s="987"/>
      <c r="LVE45" s="987"/>
      <c r="LVF45" s="987"/>
      <c r="LVG45" s="987"/>
      <c r="LVH45" s="987"/>
      <c r="LVI45" s="987"/>
      <c r="LVJ45" s="987"/>
      <c r="LVK45" s="987"/>
      <c r="LVL45" s="987"/>
      <c r="LVM45" s="987"/>
      <c r="LVN45" s="987"/>
      <c r="LVO45" s="987"/>
      <c r="LVP45" s="987"/>
      <c r="LVQ45" s="987"/>
      <c r="LVR45" s="987"/>
      <c r="LVS45" s="987"/>
      <c r="LVT45" s="987"/>
      <c r="LVU45" s="987"/>
      <c r="LVV45" s="987"/>
      <c r="LVW45" s="987"/>
      <c r="LVX45" s="987"/>
      <c r="LVY45" s="987"/>
      <c r="LVZ45" s="987"/>
      <c r="LWA45" s="987"/>
      <c r="LWB45" s="987"/>
      <c r="LWC45" s="987"/>
      <c r="LWD45" s="987"/>
      <c r="LWE45" s="987"/>
      <c r="LWF45" s="987"/>
      <c r="LWG45" s="987"/>
      <c r="LWH45" s="987"/>
      <c r="LWI45" s="987"/>
      <c r="LWJ45" s="987"/>
      <c r="LWK45" s="987"/>
      <c r="LWL45" s="987"/>
      <c r="LWM45" s="987"/>
      <c r="LWN45" s="987"/>
      <c r="LWO45" s="987"/>
      <c r="LWP45" s="987"/>
      <c r="LWQ45" s="987"/>
      <c r="LWR45" s="987"/>
      <c r="LWS45" s="987"/>
      <c r="LWT45" s="987"/>
      <c r="LWU45" s="987"/>
      <c r="LWV45" s="987"/>
      <c r="LWW45" s="987"/>
      <c r="LWX45" s="987"/>
      <c r="LWY45" s="987"/>
      <c r="LWZ45" s="987"/>
      <c r="LXA45" s="987"/>
      <c r="LXB45" s="987"/>
      <c r="LXC45" s="987"/>
      <c r="LXD45" s="987"/>
      <c r="LXE45" s="987"/>
      <c r="LXF45" s="987"/>
      <c r="LXG45" s="987"/>
      <c r="LXH45" s="987"/>
      <c r="LXI45" s="987"/>
      <c r="LXJ45" s="987"/>
      <c r="LXK45" s="987"/>
      <c r="LXL45" s="987"/>
      <c r="LXM45" s="987"/>
      <c r="LXN45" s="987"/>
      <c r="LXO45" s="987"/>
      <c r="LXP45" s="987"/>
      <c r="LXQ45" s="987"/>
      <c r="LXR45" s="987"/>
      <c r="LXS45" s="987"/>
      <c r="LXT45" s="987"/>
      <c r="LXU45" s="987"/>
      <c r="LXV45" s="987"/>
      <c r="LXW45" s="987"/>
      <c r="LXX45" s="987"/>
      <c r="LXY45" s="987"/>
      <c r="LXZ45" s="987"/>
      <c r="LYA45" s="987"/>
      <c r="LYB45" s="987"/>
      <c r="LYC45" s="987"/>
      <c r="LYD45" s="987"/>
      <c r="LYE45" s="987"/>
      <c r="LYF45" s="987"/>
      <c r="LYG45" s="987"/>
      <c r="LYH45" s="987"/>
      <c r="LYI45" s="987"/>
      <c r="LYJ45" s="987"/>
      <c r="LYK45" s="987"/>
      <c r="LYL45" s="987"/>
      <c r="LYM45" s="987"/>
      <c r="LYN45" s="987"/>
      <c r="LYO45" s="987"/>
      <c r="LYP45" s="987"/>
      <c r="LYQ45" s="987"/>
      <c r="LYR45" s="987"/>
      <c r="LYS45" s="987"/>
      <c r="LYT45" s="987"/>
      <c r="LYU45" s="987"/>
      <c r="LYV45" s="987"/>
      <c r="LYW45" s="987"/>
      <c r="LYX45" s="987"/>
      <c r="LYY45" s="987"/>
      <c r="LYZ45" s="987"/>
      <c r="LZA45" s="987"/>
      <c r="LZB45" s="987"/>
      <c r="LZC45" s="987"/>
      <c r="LZD45" s="987"/>
      <c r="LZE45" s="987"/>
      <c r="LZF45" s="987"/>
      <c r="LZG45" s="987"/>
      <c r="LZH45" s="987"/>
      <c r="LZI45" s="987"/>
      <c r="LZJ45" s="987"/>
      <c r="LZK45" s="987"/>
      <c r="LZL45" s="987"/>
      <c r="LZM45" s="987"/>
      <c r="LZN45" s="987"/>
      <c r="LZO45" s="987"/>
      <c r="LZP45" s="987"/>
      <c r="LZQ45" s="987"/>
      <c r="LZR45" s="987"/>
      <c r="LZS45" s="987"/>
      <c r="LZT45" s="987"/>
      <c r="LZU45" s="987"/>
      <c r="LZV45" s="987"/>
      <c r="LZW45" s="987"/>
      <c r="LZX45" s="987"/>
      <c r="LZY45" s="987"/>
      <c r="LZZ45" s="987"/>
      <c r="MAA45" s="987"/>
      <c r="MAB45" s="987"/>
      <c r="MAC45" s="987"/>
      <c r="MAD45" s="987"/>
      <c r="MAE45" s="987"/>
      <c r="MAF45" s="987"/>
      <c r="MAG45" s="987"/>
      <c r="MAH45" s="987"/>
      <c r="MAI45" s="987"/>
      <c r="MAJ45" s="987"/>
      <c r="MAK45" s="987"/>
      <c r="MAL45" s="987"/>
      <c r="MAM45" s="987"/>
      <c r="MAN45" s="987"/>
      <c r="MAO45" s="987"/>
      <c r="MAP45" s="987"/>
      <c r="MAQ45" s="987"/>
      <c r="MAR45" s="987"/>
      <c r="MAS45" s="987"/>
      <c r="MAT45" s="987"/>
      <c r="MAU45" s="987"/>
      <c r="MAV45" s="987"/>
      <c r="MAW45" s="987"/>
      <c r="MAX45" s="987"/>
      <c r="MAY45" s="987"/>
      <c r="MAZ45" s="987"/>
      <c r="MBA45" s="987"/>
      <c r="MBB45" s="987"/>
      <c r="MBC45" s="987"/>
      <c r="MBD45" s="987"/>
      <c r="MBE45" s="987"/>
      <c r="MBF45" s="987"/>
      <c r="MBG45" s="987"/>
      <c r="MBH45" s="987"/>
      <c r="MBI45" s="987"/>
      <c r="MBJ45" s="987"/>
      <c r="MBK45" s="987"/>
      <c r="MBL45" s="987"/>
      <c r="MBM45" s="987"/>
      <c r="MBN45" s="987"/>
      <c r="MBO45" s="987"/>
      <c r="MBP45" s="987"/>
      <c r="MBQ45" s="987"/>
      <c r="MBR45" s="987"/>
      <c r="MBS45" s="987"/>
      <c r="MBT45" s="987"/>
      <c r="MBU45" s="987"/>
      <c r="MBV45" s="987"/>
      <c r="MBW45" s="987"/>
      <c r="MBX45" s="987"/>
      <c r="MBY45" s="987"/>
      <c r="MBZ45" s="987"/>
      <c r="MCA45" s="987"/>
      <c r="MCB45" s="987"/>
      <c r="MCC45" s="987"/>
      <c r="MCD45" s="987"/>
      <c r="MCE45" s="987"/>
      <c r="MCF45" s="987"/>
      <c r="MCG45" s="987"/>
      <c r="MCH45" s="987"/>
      <c r="MCI45" s="987"/>
      <c r="MCJ45" s="987"/>
      <c r="MCK45" s="987"/>
      <c r="MCL45" s="987"/>
      <c r="MCM45" s="987"/>
      <c r="MCN45" s="987"/>
      <c r="MCO45" s="987"/>
      <c r="MCP45" s="987"/>
      <c r="MCQ45" s="987"/>
      <c r="MCR45" s="987"/>
      <c r="MCS45" s="987"/>
      <c r="MCT45" s="987"/>
      <c r="MCU45" s="987"/>
      <c r="MCV45" s="987"/>
      <c r="MCW45" s="987"/>
      <c r="MCX45" s="987"/>
      <c r="MCY45" s="987"/>
      <c r="MCZ45" s="987"/>
      <c r="MDA45" s="987"/>
      <c r="MDB45" s="987"/>
      <c r="MDC45" s="987"/>
      <c r="MDD45" s="987"/>
      <c r="MDE45" s="987"/>
      <c r="MDF45" s="987"/>
      <c r="MDG45" s="987"/>
      <c r="MDH45" s="987"/>
      <c r="MDI45" s="987"/>
      <c r="MDJ45" s="987"/>
      <c r="MDK45" s="987"/>
      <c r="MDL45" s="987"/>
      <c r="MDM45" s="987"/>
      <c r="MDN45" s="987"/>
      <c r="MDO45" s="987"/>
      <c r="MDP45" s="987"/>
      <c r="MDQ45" s="987"/>
      <c r="MDR45" s="987"/>
      <c r="MDS45" s="987"/>
      <c r="MDT45" s="987"/>
      <c r="MDU45" s="987"/>
      <c r="MDV45" s="987"/>
      <c r="MDW45" s="987"/>
      <c r="MDX45" s="987"/>
      <c r="MDY45" s="987"/>
      <c r="MDZ45" s="987"/>
      <c r="MEA45" s="987"/>
      <c r="MEB45" s="987"/>
      <c r="MEC45" s="987"/>
      <c r="MED45" s="987"/>
      <c r="MEE45" s="987"/>
      <c r="MEF45" s="987"/>
      <c r="MEG45" s="987"/>
      <c r="MEH45" s="987"/>
      <c r="MEI45" s="987"/>
      <c r="MEJ45" s="987"/>
      <c r="MEK45" s="987"/>
      <c r="MEL45" s="987"/>
      <c r="MEM45" s="987"/>
      <c r="MEN45" s="987"/>
      <c r="MEO45" s="987"/>
      <c r="MEP45" s="987"/>
      <c r="MEQ45" s="987"/>
      <c r="MER45" s="987"/>
      <c r="MES45" s="987"/>
      <c r="MET45" s="987"/>
      <c r="MEU45" s="987"/>
      <c r="MEV45" s="987"/>
      <c r="MEW45" s="987"/>
      <c r="MEX45" s="987"/>
      <c r="MEY45" s="987"/>
      <c r="MEZ45" s="987"/>
      <c r="MFA45" s="987"/>
      <c r="MFB45" s="987"/>
      <c r="MFC45" s="987"/>
      <c r="MFD45" s="987"/>
      <c r="MFE45" s="987"/>
      <c r="MFF45" s="987"/>
      <c r="MFG45" s="987"/>
      <c r="MFH45" s="987"/>
      <c r="MFI45" s="987"/>
      <c r="MFJ45" s="987"/>
      <c r="MFK45" s="987"/>
      <c r="MFL45" s="987"/>
      <c r="MFM45" s="987"/>
      <c r="MFN45" s="987"/>
      <c r="MFO45" s="987"/>
      <c r="MFP45" s="987"/>
      <c r="MFQ45" s="987"/>
      <c r="MFR45" s="987"/>
      <c r="MFS45" s="987"/>
      <c r="MFT45" s="987"/>
      <c r="MFU45" s="987"/>
      <c r="MFV45" s="987"/>
      <c r="MFW45" s="987"/>
      <c r="MFX45" s="987"/>
      <c r="MFY45" s="987"/>
      <c r="MFZ45" s="987"/>
      <c r="MGA45" s="987"/>
      <c r="MGB45" s="987"/>
      <c r="MGC45" s="987"/>
      <c r="MGD45" s="987"/>
      <c r="MGE45" s="987"/>
      <c r="MGF45" s="987"/>
      <c r="MGG45" s="987"/>
      <c r="MGH45" s="987"/>
      <c r="MGI45" s="987"/>
      <c r="MGJ45" s="987"/>
      <c r="MGK45" s="987"/>
      <c r="MGL45" s="987"/>
      <c r="MGM45" s="987"/>
      <c r="MGN45" s="987"/>
      <c r="MGO45" s="987"/>
      <c r="MGP45" s="987"/>
      <c r="MGQ45" s="987"/>
      <c r="MGR45" s="987"/>
      <c r="MGS45" s="987"/>
      <c r="MGT45" s="987"/>
      <c r="MGU45" s="987"/>
      <c r="MGV45" s="987"/>
      <c r="MGW45" s="987"/>
      <c r="MGX45" s="987"/>
      <c r="MGY45" s="987"/>
      <c r="MGZ45" s="987"/>
      <c r="MHA45" s="987"/>
      <c r="MHB45" s="987"/>
      <c r="MHC45" s="987"/>
      <c r="MHD45" s="987"/>
      <c r="MHE45" s="987"/>
      <c r="MHF45" s="987"/>
      <c r="MHG45" s="987"/>
      <c r="MHH45" s="987"/>
      <c r="MHI45" s="987"/>
      <c r="MHJ45" s="987"/>
      <c r="MHK45" s="987"/>
      <c r="MHL45" s="987"/>
      <c r="MHM45" s="987"/>
      <c r="MHN45" s="987"/>
      <c r="MHO45" s="987"/>
      <c r="MHP45" s="987"/>
      <c r="MHQ45" s="987"/>
      <c r="MHR45" s="987"/>
      <c r="MHS45" s="987"/>
      <c r="MHT45" s="987"/>
      <c r="MHU45" s="987"/>
      <c r="MHV45" s="987"/>
      <c r="MHW45" s="987"/>
      <c r="MHX45" s="987"/>
      <c r="MHY45" s="987"/>
      <c r="MHZ45" s="987"/>
      <c r="MIA45" s="987"/>
      <c r="MIB45" s="987"/>
      <c r="MIC45" s="987"/>
      <c r="MID45" s="987"/>
      <c r="MIE45" s="987"/>
      <c r="MIF45" s="987"/>
      <c r="MIG45" s="987"/>
      <c r="MIH45" s="987"/>
      <c r="MII45" s="987"/>
      <c r="MIJ45" s="987"/>
      <c r="MIK45" s="987"/>
      <c r="MIL45" s="987"/>
      <c r="MIM45" s="987"/>
      <c r="MIN45" s="987"/>
      <c r="MIO45" s="987"/>
      <c r="MIP45" s="987"/>
      <c r="MIQ45" s="987"/>
      <c r="MIR45" s="987"/>
      <c r="MIS45" s="987"/>
      <c r="MIT45" s="987"/>
      <c r="MIU45" s="987"/>
      <c r="MIV45" s="987"/>
      <c r="MIW45" s="987"/>
      <c r="MIX45" s="987"/>
      <c r="MIY45" s="987"/>
      <c r="MIZ45" s="987"/>
      <c r="MJA45" s="987"/>
      <c r="MJB45" s="987"/>
      <c r="MJC45" s="987"/>
      <c r="MJD45" s="987"/>
      <c r="MJE45" s="987"/>
      <c r="MJF45" s="987"/>
      <c r="MJG45" s="987"/>
      <c r="MJH45" s="987"/>
      <c r="MJI45" s="987"/>
      <c r="MJJ45" s="987"/>
      <c r="MJK45" s="987"/>
      <c r="MJL45" s="987"/>
      <c r="MJM45" s="987"/>
      <c r="MJN45" s="987"/>
      <c r="MJO45" s="987"/>
      <c r="MJP45" s="987"/>
      <c r="MJQ45" s="987"/>
      <c r="MJR45" s="987"/>
      <c r="MJS45" s="987"/>
      <c r="MJT45" s="987"/>
      <c r="MJU45" s="987"/>
      <c r="MJV45" s="987"/>
      <c r="MJW45" s="987"/>
      <c r="MJX45" s="987"/>
      <c r="MJY45" s="987"/>
      <c r="MJZ45" s="987"/>
      <c r="MKA45" s="987"/>
      <c r="MKB45" s="987"/>
      <c r="MKC45" s="987"/>
      <c r="MKD45" s="987"/>
      <c r="MKE45" s="987"/>
      <c r="MKF45" s="987"/>
      <c r="MKG45" s="987"/>
      <c r="MKH45" s="987"/>
      <c r="MKI45" s="987"/>
      <c r="MKJ45" s="987"/>
      <c r="MKK45" s="987"/>
      <c r="MKL45" s="987"/>
      <c r="MKM45" s="987"/>
      <c r="MKN45" s="987"/>
      <c r="MKO45" s="987"/>
      <c r="MKP45" s="987"/>
      <c r="MKQ45" s="987"/>
      <c r="MKR45" s="987"/>
      <c r="MKS45" s="987"/>
      <c r="MKT45" s="987"/>
      <c r="MKU45" s="987"/>
      <c r="MKV45" s="987"/>
      <c r="MKW45" s="987"/>
      <c r="MKX45" s="987"/>
      <c r="MKY45" s="987"/>
      <c r="MKZ45" s="987"/>
      <c r="MLA45" s="987"/>
      <c r="MLB45" s="987"/>
      <c r="MLC45" s="987"/>
      <c r="MLD45" s="987"/>
      <c r="MLE45" s="987"/>
      <c r="MLF45" s="987"/>
      <c r="MLG45" s="987"/>
      <c r="MLH45" s="987"/>
      <c r="MLI45" s="987"/>
      <c r="MLJ45" s="987"/>
      <c r="MLK45" s="987"/>
      <c r="MLL45" s="987"/>
      <c r="MLM45" s="987"/>
      <c r="MLN45" s="987"/>
      <c r="MLO45" s="987"/>
      <c r="MLP45" s="987"/>
      <c r="MLQ45" s="987"/>
      <c r="MLR45" s="987"/>
      <c r="MLS45" s="987"/>
      <c r="MLT45" s="987"/>
      <c r="MLU45" s="987"/>
      <c r="MLV45" s="987"/>
      <c r="MLW45" s="987"/>
      <c r="MLX45" s="987"/>
      <c r="MLY45" s="987"/>
      <c r="MLZ45" s="987"/>
      <c r="MMA45" s="987"/>
      <c r="MMB45" s="987"/>
      <c r="MMC45" s="987"/>
      <c r="MMD45" s="987"/>
      <c r="MME45" s="987"/>
      <c r="MMF45" s="987"/>
      <c r="MMG45" s="987"/>
      <c r="MMH45" s="987"/>
      <c r="MMI45" s="987"/>
      <c r="MMJ45" s="987"/>
      <c r="MMK45" s="987"/>
      <c r="MML45" s="987"/>
      <c r="MMM45" s="987"/>
      <c r="MMN45" s="987"/>
      <c r="MMO45" s="987"/>
      <c r="MMP45" s="987"/>
      <c r="MMQ45" s="987"/>
      <c r="MMR45" s="987"/>
      <c r="MMS45" s="987"/>
      <c r="MMT45" s="987"/>
      <c r="MMU45" s="987"/>
      <c r="MMV45" s="987"/>
      <c r="MMW45" s="987"/>
      <c r="MMX45" s="987"/>
      <c r="MMY45" s="987"/>
      <c r="MMZ45" s="987"/>
      <c r="MNA45" s="987"/>
      <c r="MNB45" s="987"/>
      <c r="MNC45" s="987"/>
      <c r="MND45" s="987"/>
      <c r="MNE45" s="987"/>
      <c r="MNF45" s="987"/>
      <c r="MNG45" s="987"/>
      <c r="MNH45" s="987"/>
      <c r="MNI45" s="987"/>
      <c r="MNJ45" s="987"/>
      <c r="MNK45" s="987"/>
      <c r="MNL45" s="987"/>
      <c r="MNM45" s="987"/>
      <c r="MNN45" s="987"/>
      <c r="MNO45" s="987"/>
      <c r="MNP45" s="987"/>
      <c r="MNQ45" s="987"/>
      <c r="MNR45" s="987"/>
      <c r="MNS45" s="987"/>
      <c r="MNT45" s="987"/>
      <c r="MNU45" s="987"/>
      <c r="MNV45" s="987"/>
      <c r="MNW45" s="987"/>
      <c r="MNX45" s="987"/>
      <c r="MNY45" s="987"/>
      <c r="MNZ45" s="987"/>
      <c r="MOA45" s="987"/>
      <c r="MOB45" s="987"/>
      <c r="MOC45" s="987"/>
      <c r="MOD45" s="987"/>
      <c r="MOE45" s="987"/>
      <c r="MOF45" s="987"/>
      <c r="MOG45" s="987"/>
      <c r="MOH45" s="987"/>
      <c r="MOI45" s="987"/>
      <c r="MOJ45" s="987"/>
      <c r="MOK45" s="987"/>
      <c r="MOL45" s="987"/>
      <c r="MOM45" s="987"/>
      <c r="MON45" s="987"/>
      <c r="MOO45" s="987"/>
      <c r="MOP45" s="987"/>
      <c r="MOQ45" s="987"/>
      <c r="MOR45" s="987"/>
      <c r="MOS45" s="987"/>
      <c r="MOT45" s="987"/>
      <c r="MOU45" s="987"/>
      <c r="MOV45" s="987"/>
      <c r="MOW45" s="987"/>
      <c r="MOX45" s="987"/>
      <c r="MOY45" s="987"/>
      <c r="MOZ45" s="987"/>
      <c r="MPA45" s="987"/>
      <c r="MPB45" s="987"/>
      <c r="MPC45" s="987"/>
      <c r="MPD45" s="987"/>
      <c r="MPE45" s="987"/>
      <c r="MPF45" s="987"/>
      <c r="MPG45" s="987"/>
      <c r="MPH45" s="987"/>
      <c r="MPI45" s="987"/>
      <c r="MPJ45" s="987"/>
      <c r="MPK45" s="987"/>
      <c r="MPL45" s="987"/>
      <c r="MPM45" s="987"/>
      <c r="MPN45" s="987"/>
      <c r="MPO45" s="987"/>
      <c r="MPP45" s="987"/>
      <c r="MPQ45" s="987"/>
      <c r="MPR45" s="987"/>
      <c r="MPS45" s="987"/>
      <c r="MPT45" s="987"/>
      <c r="MPU45" s="987"/>
      <c r="MPV45" s="987"/>
      <c r="MPW45" s="987"/>
      <c r="MPX45" s="987"/>
      <c r="MPY45" s="987"/>
      <c r="MPZ45" s="987"/>
      <c r="MQA45" s="987"/>
      <c r="MQB45" s="987"/>
      <c r="MQC45" s="987"/>
      <c r="MQD45" s="987"/>
      <c r="MQE45" s="987"/>
      <c r="MQF45" s="987"/>
      <c r="MQG45" s="987"/>
      <c r="MQH45" s="987"/>
      <c r="MQI45" s="987"/>
      <c r="MQJ45" s="987"/>
      <c r="MQK45" s="987"/>
      <c r="MQL45" s="987"/>
      <c r="MQM45" s="987"/>
      <c r="MQN45" s="987"/>
      <c r="MQO45" s="987"/>
      <c r="MQP45" s="987"/>
      <c r="MQQ45" s="987"/>
      <c r="MQR45" s="987"/>
      <c r="MQS45" s="987"/>
      <c r="MQT45" s="987"/>
      <c r="MQU45" s="987"/>
      <c r="MQV45" s="987"/>
      <c r="MQW45" s="987"/>
      <c r="MQX45" s="987"/>
      <c r="MQY45" s="987"/>
      <c r="MQZ45" s="987"/>
      <c r="MRA45" s="987"/>
      <c r="MRB45" s="987"/>
      <c r="MRC45" s="987"/>
      <c r="MRD45" s="987"/>
      <c r="MRE45" s="987"/>
      <c r="MRF45" s="987"/>
      <c r="MRG45" s="987"/>
      <c r="MRH45" s="987"/>
      <c r="MRI45" s="987"/>
      <c r="MRJ45" s="987"/>
      <c r="MRK45" s="987"/>
      <c r="MRL45" s="987"/>
      <c r="MRM45" s="987"/>
      <c r="MRN45" s="987"/>
      <c r="MRO45" s="987"/>
      <c r="MRP45" s="987"/>
      <c r="MRQ45" s="987"/>
      <c r="MRR45" s="987"/>
      <c r="MRS45" s="987"/>
      <c r="MRT45" s="987"/>
      <c r="MRU45" s="987"/>
      <c r="MRV45" s="987"/>
      <c r="MRW45" s="987"/>
      <c r="MRX45" s="987"/>
      <c r="MRY45" s="987"/>
      <c r="MRZ45" s="987"/>
      <c r="MSA45" s="987"/>
      <c r="MSB45" s="987"/>
      <c r="MSC45" s="987"/>
      <c r="MSD45" s="987"/>
      <c r="MSE45" s="987"/>
      <c r="MSF45" s="987"/>
      <c r="MSG45" s="987"/>
      <c r="MSH45" s="987"/>
      <c r="MSI45" s="987"/>
      <c r="MSJ45" s="987"/>
      <c r="MSK45" s="987"/>
      <c r="MSL45" s="987"/>
      <c r="MSM45" s="987"/>
      <c r="MSN45" s="987"/>
      <c r="MSO45" s="987"/>
      <c r="MSP45" s="987"/>
      <c r="MSQ45" s="987"/>
      <c r="MSR45" s="987"/>
      <c r="MSS45" s="987"/>
      <c r="MST45" s="987"/>
      <c r="MSU45" s="987"/>
      <c r="MSV45" s="987"/>
      <c r="MSW45" s="987"/>
      <c r="MSX45" s="987"/>
      <c r="MSY45" s="987"/>
      <c r="MSZ45" s="987"/>
      <c r="MTA45" s="987"/>
      <c r="MTB45" s="987"/>
      <c r="MTC45" s="987"/>
      <c r="MTD45" s="987"/>
      <c r="MTE45" s="987"/>
      <c r="MTF45" s="987"/>
      <c r="MTG45" s="987"/>
      <c r="MTH45" s="987"/>
      <c r="MTI45" s="987"/>
      <c r="MTJ45" s="987"/>
      <c r="MTK45" s="987"/>
      <c r="MTL45" s="987"/>
      <c r="MTM45" s="987"/>
      <c r="MTN45" s="987"/>
      <c r="MTO45" s="987"/>
      <c r="MTP45" s="987"/>
      <c r="MTQ45" s="987"/>
      <c r="MTR45" s="987"/>
      <c r="MTS45" s="987"/>
      <c r="MTT45" s="987"/>
      <c r="MTU45" s="987"/>
      <c r="MTV45" s="987"/>
      <c r="MTW45" s="987"/>
      <c r="MTX45" s="987"/>
      <c r="MTY45" s="987"/>
      <c r="MTZ45" s="987"/>
      <c r="MUA45" s="987"/>
      <c r="MUB45" s="987"/>
      <c r="MUC45" s="987"/>
      <c r="MUD45" s="987"/>
      <c r="MUE45" s="987"/>
      <c r="MUF45" s="987"/>
      <c r="MUG45" s="987"/>
      <c r="MUH45" s="987"/>
      <c r="MUI45" s="987"/>
      <c r="MUJ45" s="987"/>
      <c r="MUK45" s="987"/>
      <c r="MUL45" s="987"/>
      <c r="MUM45" s="987"/>
      <c r="MUN45" s="987"/>
      <c r="MUO45" s="987"/>
      <c r="MUP45" s="987"/>
      <c r="MUQ45" s="987"/>
      <c r="MUR45" s="987"/>
      <c r="MUS45" s="987"/>
      <c r="MUT45" s="987"/>
      <c r="MUU45" s="987"/>
      <c r="MUV45" s="987"/>
      <c r="MUW45" s="987"/>
      <c r="MUX45" s="987"/>
      <c r="MUY45" s="987"/>
      <c r="MUZ45" s="987"/>
      <c r="MVA45" s="987"/>
      <c r="MVB45" s="987"/>
      <c r="MVC45" s="987"/>
      <c r="MVD45" s="987"/>
      <c r="MVE45" s="987"/>
      <c r="MVF45" s="987"/>
      <c r="MVG45" s="987"/>
      <c r="MVH45" s="987"/>
      <c r="MVI45" s="987"/>
      <c r="MVJ45" s="987"/>
      <c r="MVK45" s="987"/>
      <c r="MVL45" s="987"/>
      <c r="MVM45" s="987"/>
      <c r="MVN45" s="987"/>
      <c r="MVO45" s="987"/>
      <c r="MVP45" s="987"/>
      <c r="MVQ45" s="987"/>
      <c r="MVR45" s="987"/>
      <c r="MVS45" s="987"/>
      <c r="MVT45" s="987"/>
      <c r="MVU45" s="987"/>
      <c r="MVV45" s="987"/>
      <c r="MVW45" s="987"/>
      <c r="MVX45" s="987"/>
      <c r="MVY45" s="987"/>
      <c r="MVZ45" s="987"/>
      <c r="MWA45" s="987"/>
      <c r="MWB45" s="987"/>
      <c r="MWC45" s="987"/>
      <c r="MWD45" s="987"/>
      <c r="MWE45" s="987"/>
      <c r="MWF45" s="987"/>
      <c r="MWG45" s="987"/>
      <c r="MWH45" s="987"/>
      <c r="MWI45" s="987"/>
      <c r="MWJ45" s="987"/>
      <c r="MWK45" s="987"/>
      <c r="MWL45" s="987"/>
      <c r="MWM45" s="987"/>
      <c r="MWN45" s="987"/>
      <c r="MWO45" s="987"/>
      <c r="MWP45" s="987"/>
      <c r="MWQ45" s="987"/>
      <c r="MWR45" s="987"/>
      <c r="MWS45" s="987"/>
      <c r="MWT45" s="987"/>
      <c r="MWU45" s="987"/>
      <c r="MWV45" s="987"/>
      <c r="MWW45" s="987"/>
      <c r="MWX45" s="987"/>
      <c r="MWY45" s="987"/>
      <c r="MWZ45" s="987"/>
      <c r="MXA45" s="987"/>
      <c r="MXB45" s="987"/>
      <c r="MXC45" s="987"/>
      <c r="MXD45" s="987"/>
      <c r="MXE45" s="987"/>
      <c r="MXF45" s="987"/>
      <c r="MXG45" s="987"/>
      <c r="MXH45" s="987"/>
      <c r="MXI45" s="987"/>
      <c r="MXJ45" s="987"/>
      <c r="MXK45" s="987"/>
      <c r="MXL45" s="987"/>
      <c r="MXM45" s="987"/>
      <c r="MXN45" s="987"/>
      <c r="MXO45" s="987"/>
      <c r="MXP45" s="987"/>
      <c r="MXQ45" s="987"/>
      <c r="MXR45" s="987"/>
      <c r="MXS45" s="987"/>
      <c r="MXT45" s="987"/>
      <c r="MXU45" s="987"/>
      <c r="MXV45" s="987"/>
      <c r="MXW45" s="987"/>
      <c r="MXX45" s="987"/>
      <c r="MXY45" s="987"/>
      <c r="MXZ45" s="987"/>
      <c r="MYA45" s="987"/>
      <c r="MYB45" s="987"/>
      <c r="MYC45" s="987"/>
      <c r="MYD45" s="987"/>
      <c r="MYE45" s="987"/>
      <c r="MYF45" s="987"/>
      <c r="MYG45" s="987"/>
      <c r="MYH45" s="987"/>
      <c r="MYI45" s="987"/>
      <c r="MYJ45" s="987"/>
      <c r="MYK45" s="987"/>
      <c r="MYL45" s="987"/>
      <c r="MYM45" s="987"/>
      <c r="MYN45" s="987"/>
      <c r="MYO45" s="987"/>
      <c r="MYP45" s="987"/>
      <c r="MYQ45" s="987"/>
      <c r="MYR45" s="987"/>
      <c r="MYS45" s="987"/>
      <c r="MYT45" s="987"/>
      <c r="MYU45" s="987"/>
      <c r="MYV45" s="987"/>
      <c r="MYW45" s="987"/>
      <c r="MYX45" s="987"/>
      <c r="MYY45" s="987"/>
      <c r="MYZ45" s="987"/>
      <c r="MZA45" s="987"/>
      <c r="MZB45" s="987"/>
      <c r="MZC45" s="987"/>
      <c r="MZD45" s="987"/>
      <c r="MZE45" s="987"/>
      <c r="MZF45" s="987"/>
      <c r="MZG45" s="987"/>
      <c r="MZH45" s="987"/>
      <c r="MZI45" s="987"/>
      <c r="MZJ45" s="987"/>
      <c r="MZK45" s="987"/>
      <c r="MZL45" s="987"/>
      <c r="MZM45" s="987"/>
      <c r="MZN45" s="987"/>
      <c r="MZO45" s="987"/>
      <c r="MZP45" s="987"/>
      <c r="MZQ45" s="987"/>
      <c r="MZR45" s="987"/>
      <c r="MZS45" s="987"/>
      <c r="MZT45" s="987"/>
      <c r="MZU45" s="987"/>
      <c r="MZV45" s="987"/>
      <c r="MZW45" s="987"/>
      <c r="MZX45" s="987"/>
      <c r="MZY45" s="987"/>
      <c r="MZZ45" s="987"/>
      <c r="NAA45" s="987"/>
      <c r="NAB45" s="987"/>
      <c r="NAC45" s="987"/>
      <c r="NAD45" s="987"/>
      <c r="NAE45" s="987"/>
      <c r="NAF45" s="987"/>
      <c r="NAG45" s="987"/>
      <c r="NAH45" s="987"/>
      <c r="NAI45" s="987"/>
      <c r="NAJ45" s="987"/>
      <c r="NAK45" s="987"/>
      <c r="NAL45" s="987"/>
      <c r="NAM45" s="987"/>
      <c r="NAN45" s="987"/>
      <c r="NAO45" s="987"/>
      <c r="NAP45" s="987"/>
      <c r="NAQ45" s="987"/>
      <c r="NAR45" s="987"/>
      <c r="NAS45" s="987"/>
      <c r="NAT45" s="987"/>
      <c r="NAU45" s="987"/>
      <c r="NAV45" s="987"/>
      <c r="NAW45" s="987"/>
      <c r="NAX45" s="987"/>
      <c r="NAY45" s="987"/>
      <c r="NAZ45" s="987"/>
      <c r="NBA45" s="987"/>
      <c r="NBB45" s="987"/>
      <c r="NBC45" s="987"/>
      <c r="NBD45" s="987"/>
      <c r="NBE45" s="987"/>
      <c r="NBF45" s="987"/>
      <c r="NBG45" s="987"/>
      <c r="NBH45" s="987"/>
      <c r="NBI45" s="987"/>
      <c r="NBJ45" s="987"/>
      <c r="NBK45" s="987"/>
      <c r="NBL45" s="987"/>
      <c r="NBM45" s="987"/>
      <c r="NBN45" s="987"/>
      <c r="NBO45" s="987"/>
      <c r="NBP45" s="987"/>
      <c r="NBQ45" s="987"/>
      <c r="NBR45" s="987"/>
      <c r="NBS45" s="987"/>
      <c r="NBT45" s="987"/>
      <c r="NBU45" s="987"/>
      <c r="NBV45" s="987"/>
      <c r="NBW45" s="987"/>
      <c r="NBX45" s="987"/>
      <c r="NBY45" s="987"/>
      <c r="NBZ45" s="987"/>
      <c r="NCA45" s="987"/>
      <c r="NCB45" s="987"/>
      <c r="NCC45" s="987"/>
      <c r="NCD45" s="987"/>
      <c r="NCE45" s="987"/>
      <c r="NCF45" s="987"/>
      <c r="NCG45" s="987"/>
      <c r="NCH45" s="987"/>
      <c r="NCI45" s="987"/>
      <c r="NCJ45" s="987"/>
      <c r="NCK45" s="987"/>
      <c r="NCL45" s="987"/>
      <c r="NCM45" s="987"/>
      <c r="NCN45" s="987"/>
      <c r="NCO45" s="987"/>
      <c r="NCP45" s="987"/>
      <c r="NCQ45" s="987"/>
      <c r="NCR45" s="987"/>
      <c r="NCS45" s="987"/>
      <c r="NCT45" s="987"/>
      <c r="NCU45" s="987"/>
      <c r="NCV45" s="987"/>
      <c r="NCW45" s="987"/>
      <c r="NCX45" s="987"/>
      <c r="NCY45" s="987"/>
      <c r="NCZ45" s="987"/>
      <c r="NDA45" s="987"/>
      <c r="NDB45" s="987"/>
      <c r="NDC45" s="987"/>
      <c r="NDD45" s="987"/>
      <c r="NDE45" s="987"/>
      <c r="NDF45" s="987"/>
      <c r="NDG45" s="987"/>
      <c r="NDH45" s="987"/>
      <c r="NDI45" s="987"/>
      <c r="NDJ45" s="987"/>
      <c r="NDK45" s="987"/>
      <c r="NDL45" s="987"/>
      <c r="NDM45" s="987"/>
      <c r="NDN45" s="987"/>
      <c r="NDO45" s="987"/>
      <c r="NDP45" s="987"/>
      <c r="NDQ45" s="987"/>
      <c r="NDR45" s="987"/>
      <c r="NDS45" s="987"/>
      <c r="NDT45" s="987"/>
      <c r="NDU45" s="987"/>
      <c r="NDV45" s="987"/>
      <c r="NDW45" s="987"/>
      <c r="NDX45" s="987"/>
      <c r="NDY45" s="987"/>
      <c r="NDZ45" s="987"/>
      <c r="NEA45" s="987"/>
      <c r="NEB45" s="987"/>
      <c r="NEC45" s="987"/>
      <c r="NED45" s="987"/>
      <c r="NEE45" s="987"/>
      <c r="NEF45" s="987"/>
      <c r="NEG45" s="987"/>
      <c r="NEH45" s="987"/>
      <c r="NEI45" s="987"/>
      <c r="NEJ45" s="987"/>
      <c r="NEK45" s="987"/>
      <c r="NEL45" s="987"/>
      <c r="NEM45" s="987"/>
      <c r="NEN45" s="987"/>
      <c r="NEO45" s="987"/>
      <c r="NEP45" s="987"/>
      <c r="NEQ45" s="987"/>
      <c r="NER45" s="987"/>
      <c r="NES45" s="987"/>
      <c r="NET45" s="987"/>
      <c r="NEU45" s="987"/>
      <c r="NEV45" s="987"/>
      <c r="NEW45" s="987"/>
      <c r="NEX45" s="987"/>
      <c r="NEY45" s="987"/>
      <c r="NEZ45" s="987"/>
      <c r="NFA45" s="987"/>
      <c r="NFB45" s="987"/>
      <c r="NFC45" s="987"/>
      <c r="NFD45" s="987"/>
      <c r="NFE45" s="987"/>
      <c r="NFF45" s="987"/>
      <c r="NFG45" s="987"/>
      <c r="NFH45" s="987"/>
      <c r="NFI45" s="987"/>
      <c r="NFJ45" s="987"/>
      <c r="NFK45" s="987"/>
      <c r="NFL45" s="987"/>
      <c r="NFM45" s="987"/>
      <c r="NFN45" s="987"/>
      <c r="NFO45" s="987"/>
      <c r="NFP45" s="987"/>
      <c r="NFQ45" s="987"/>
      <c r="NFR45" s="987"/>
      <c r="NFS45" s="987"/>
      <c r="NFT45" s="987"/>
      <c r="NFU45" s="987"/>
      <c r="NFV45" s="987"/>
      <c r="NFW45" s="987"/>
      <c r="NFX45" s="987"/>
      <c r="NFY45" s="987"/>
      <c r="NFZ45" s="987"/>
      <c r="NGA45" s="987"/>
      <c r="NGB45" s="987"/>
      <c r="NGC45" s="987"/>
      <c r="NGD45" s="987"/>
      <c r="NGE45" s="987"/>
      <c r="NGF45" s="987"/>
      <c r="NGG45" s="987"/>
      <c r="NGH45" s="987"/>
      <c r="NGI45" s="987"/>
      <c r="NGJ45" s="987"/>
      <c r="NGK45" s="987"/>
      <c r="NGL45" s="987"/>
      <c r="NGM45" s="987"/>
      <c r="NGN45" s="987"/>
      <c r="NGO45" s="987"/>
      <c r="NGP45" s="987"/>
      <c r="NGQ45" s="987"/>
      <c r="NGR45" s="987"/>
      <c r="NGS45" s="987"/>
      <c r="NGT45" s="987"/>
      <c r="NGU45" s="987"/>
      <c r="NGV45" s="987"/>
      <c r="NGW45" s="987"/>
      <c r="NGX45" s="987"/>
      <c r="NGY45" s="987"/>
      <c r="NGZ45" s="987"/>
      <c r="NHA45" s="987"/>
      <c r="NHB45" s="987"/>
      <c r="NHC45" s="987"/>
      <c r="NHD45" s="987"/>
      <c r="NHE45" s="987"/>
      <c r="NHF45" s="987"/>
      <c r="NHG45" s="987"/>
      <c r="NHH45" s="987"/>
      <c r="NHI45" s="987"/>
      <c r="NHJ45" s="987"/>
      <c r="NHK45" s="987"/>
      <c r="NHL45" s="987"/>
      <c r="NHM45" s="987"/>
      <c r="NHN45" s="987"/>
      <c r="NHO45" s="987"/>
      <c r="NHP45" s="987"/>
      <c r="NHQ45" s="987"/>
      <c r="NHR45" s="987"/>
      <c r="NHS45" s="987"/>
      <c r="NHT45" s="987"/>
      <c r="NHU45" s="987"/>
      <c r="NHV45" s="987"/>
      <c r="NHW45" s="987"/>
      <c r="NHX45" s="987"/>
      <c r="NHY45" s="987"/>
      <c r="NHZ45" s="987"/>
      <c r="NIA45" s="987"/>
      <c r="NIB45" s="987"/>
      <c r="NIC45" s="987"/>
      <c r="NID45" s="987"/>
      <c r="NIE45" s="987"/>
      <c r="NIF45" s="987"/>
      <c r="NIG45" s="987"/>
      <c r="NIH45" s="987"/>
      <c r="NII45" s="987"/>
      <c r="NIJ45" s="987"/>
      <c r="NIK45" s="987"/>
      <c r="NIL45" s="987"/>
      <c r="NIM45" s="987"/>
      <c r="NIN45" s="987"/>
      <c r="NIO45" s="987"/>
      <c r="NIP45" s="987"/>
      <c r="NIQ45" s="987"/>
      <c r="NIR45" s="987"/>
      <c r="NIS45" s="987"/>
      <c r="NIT45" s="987"/>
      <c r="NIU45" s="987"/>
      <c r="NIV45" s="987"/>
      <c r="NIW45" s="987"/>
      <c r="NIX45" s="987"/>
      <c r="NIY45" s="987"/>
      <c r="NIZ45" s="987"/>
      <c r="NJA45" s="987"/>
      <c r="NJB45" s="987"/>
      <c r="NJC45" s="987"/>
      <c r="NJD45" s="987"/>
      <c r="NJE45" s="987"/>
      <c r="NJF45" s="987"/>
      <c r="NJG45" s="987"/>
      <c r="NJH45" s="987"/>
      <c r="NJI45" s="987"/>
      <c r="NJJ45" s="987"/>
      <c r="NJK45" s="987"/>
      <c r="NJL45" s="987"/>
      <c r="NJM45" s="987"/>
      <c r="NJN45" s="987"/>
      <c r="NJO45" s="987"/>
      <c r="NJP45" s="987"/>
      <c r="NJQ45" s="987"/>
      <c r="NJR45" s="987"/>
      <c r="NJS45" s="987"/>
      <c r="NJT45" s="987"/>
      <c r="NJU45" s="987"/>
      <c r="NJV45" s="987"/>
      <c r="NJW45" s="987"/>
      <c r="NJX45" s="987"/>
      <c r="NJY45" s="987"/>
      <c r="NJZ45" s="987"/>
      <c r="NKA45" s="987"/>
      <c r="NKB45" s="987"/>
      <c r="NKC45" s="987"/>
      <c r="NKD45" s="987"/>
      <c r="NKE45" s="987"/>
      <c r="NKF45" s="987"/>
      <c r="NKG45" s="987"/>
      <c r="NKH45" s="987"/>
      <c r="NKI45" s="987"/>
      <c r="NKJ45" s="987"/>
      <c r="NKK45" s="987"/>
      <c r="NKL45" s="987"/>
      <c r="NKM45" s="987"/>
      <c r="NKN45" s="987"/>
      <c r="NKO45" s="987"/>
      <c r="NKP45" s="987"/>
      <c r="NKQ45" s="987"/>
      <c r="NKR45" s="987"/>
      <c r="NKS45" s="987"/>
      <c r="NKT45" s="987"/>
      <c r="NKU45" s="987"/>
      <c r="NKV45" s="987"/>
      <c r="NKW45" s="987"/>
      <c r="NKX45" s="987"/>
      <c r="NKY45" s="987"/>
      <c r="NKZ45" s="987"/>
      <c r="NLA45" s="987"/>
      <c r="NLB45" s="987"/>
      <c r="NLC45" s="987"/>
      <c r="NLD45" s="987"/>
      <c r="NLE45" s="987"/>
      <c r="NLF45" s="987"/>
      <c r="NLG45" s="987"/>
      <c r="NLH45" s="987"/>
      <c r="NLI45" s="987"/>
      <c r="NLJ45" s="987"/>
      <c r="NLK45" s="987"/>
      <c r="NLL45" s="987"/>
      <c r="NLM45" s="987"/>
      <c r="NLN45" s="987"/>
      <c r="NLO45" s="987"/>
      <c r="NLP45" s="987"/>
      <c r="NLQ45" s="987"/>
      <c r="NLR45" s="987"/>
      <c r="NLS45" s="987"/>
      <c r="NLT45" s="987"/>
      <c r="NLU45" s="987"/>
      <c r="NLV45" s="987"/>
      <c r="NLW45" s="987"/>
      <c r="NLX45" s="987"/>
      <c r="NLY45" s="987"/>
      <c r="NLZ45" s="987"/>
      <c r="NMA45" s="987"/>
      <c r="NMB45" s="987"/>
      <c r="NMC45" s="987"/>
      <c r="NMD45" s="987"/>
      <c r="NME45" s="987"/>
      <c r="NMF45" s="987"/>
      <c r="NMG45" s="987"/>
      <c r="NMH45" s="987"/>
      <c r="NMI45" s="987"/>
      <c r="NMJ45" s="987"/>
      <c r="NMK45" s="987"/>
      <c r="NML45" s="987"/>
      <c r="NMM45" s="987"/>
      <c r="NMN45" s="987"/>
      <c r="NMO45" s="987"/>
      <c r="NMP45" s="987"/>
      <c r="NMQ45" s="987"/>
      <c r="NMR45" s="987"/>
      <c r="NMS45" s="987"/>
      <c r="NMT45" s="987"/>
      <c r="NMU45" s="987"/>
      <c r="NMV45" s="987"/>
      <c r="NMW45" s="987"/>
      <c r="NMX45" s="987"/>
      <c r="NMY45" s="987"/>
      <c r="NMZ45" s="987"/>
      <c r="NNA45" s="987"/>
      <c r="NNB45" s="987"/>
      <c r="NNC45" s="987"/>
      <c r="NND45" s="987"/>
      <c r="NNE45" s="987"/>
      <c r="NNF45" s="987"/>
      <c r="NNG45" s="987"/>
      <c r="NNH45" s="987"/>
      <c r="NNI45" s="987"/>
      <c r="NNJ45" s="987"/>
      <c r="NNK45" s="987"/>
      <c r="NNL45" s="987"/>
      <c r="NNM45" s="987"/>
      <c r="NNN45" s="987"/>
      <c r="NNO45" s="987"/>
      <c r="NNP45" s="987"/>
      <c r="NNQ45" s="987"/>
      <c r="NNR45" s="987"/>
      <c r="NNS45" s="987"/>
      <c r="NNT45" s="987"/>
      <c r="NNU45" s="987"/>
      <c r="NNV45" s="987"/>
      <c r="NNW45" s="987"/>
      <c r="NNX45" s="987"/>
      <c r="NNY45" s="987"/>
      <c r="NNZ45" s="987"/>
      <c r="NOA45" s="987"/>
      <c r="NOB45" s="987"/>
      <c r="NOC45" s="987"/>
      <c r="NOD45" s="987"/>
      <c r="NOE45" s="987"/>
      <c r="NOF45" s="987"/>
      <c r="NOG45" s="987"/>
      <c r="NOH45" s="987"/>
      <c r="NOI45" s="987"/>
      <c r="NOJ45" s="987"/>
      <c r="NOK45" s="987"/>
      <c r="NOL45" s="987"/>
      <c r="NOM45" s="987"/>
      <c r="NON45" s="987"/>
      <c r="NOO45" s="987"/>
      <c r="NOP45" s="987"/>
      <c r="NOQ45" s="987"/>
      <c r="NOR45" s="987"/>
      <c r="NOS45" s="987"/>
      <c r="NOT45" s="987"/>
      <c r="NOU45" s="987"/>
      <c r="NOV45" s="987"/>
      <c r="NOW45" s="987"/>
      <c r="NOX45" s="987"/>
      <c r="NOY45" s="987"/>
      <c r="NOZ45" s="987"/>
      <c r="NPA45" s="987"/>
      <c r="NPB45" s="987"/>
      <c r="NPC45" s="987"/>
      <c r="NPD45" s="987"/>
      <c r="NPE45" s="987"/>
      <c r="NPF45" s="987"/>
      <c r="NPG45" s="987"/>
      <c r="NPH45" s="987"/>
      <c r="NPI45" s="987"/>
      <c r="NPJ45" s="987"/>
      <c r="NPK45" s="987"/>
      <c r="NPL45" s="987"/>
      <c r="NPM45" s="987"/>
      <c r="NPN45" s="987"/>
      <c r="NPO45" s="987"/>
      <c r="NPP45" s="987"/>
      <c r="NPQ45" s="987"/>
      <c r="NPR45" s="987"/>
      <c r="NPS45" s="987"/>
      <c r="NPT45" s="987"/>
      <c r="NPU45" s="987"/>
      <c r="NPV45" s="987"/>
      <c r="NPW45" s="987"/>
      <c r="NPX45" s="987"/>
      <c r="NPY45" s="987"/>
      <c r="NPZ45" s="987"/>
      <c r="NQA45" s="987"/>
      <c r="NQB45" s="987"/>
      <c r="NQC45" s="987"/>
      <c r="NQD45" s="987"/>
      <c r="NQE45" s="987"/>
      <c r="NQF45" s="987"/>
      <c r="NQG45" s="987"/>
      <c r="NQH45" s="987"/>
      <c r="NQI45" s="987"/>
      <c r="NQJ45" s="987"/>
      <c r="NQK45" s="987"/>
      <c r="NQL45" s="987"/>
      <c r="NQM45" s="987"/>
      <c r="NQN45" s="987"/>
      <c r="NQO45" s="987"/>
      <c r="NQP45" s="987"/>
      <c r="NQQ45" s="987"/>
      <c r="NQR45" s="987"/>
      <c r="NQS45" s="987"/>
      <c r="NQT45" s="987"/>
      <c r="NQU45" s="987"/>
      <c r="NQV45" s="987"/>
      <c r="NQW45" s="987"/>
      <c r="NQX45" s="987"/>
      <c r="NQY45" s="987"/>
      <c r="NQZ45" s="987"/>
      <c r="NRA45" s="987"/>
      <c r="NRB45" s="987"/>
      <c r="NRC45" s="987"/>
      <c r="NRD45" s="987"/>
      <c r="NRE45" s="987"/>
      <c r="NRF45" s="987"/>
      <c r="NRG45" s="987"/>
      <c r="NRH45" s="987"/>
      <c r="NRI45" s="987"/>
      <c r="NRJ45" s="987"/>
      <c r="NRK45" s="987"/>
      <c r="NRL45" s="987"/>
      <c r="NRM45" s="987"/>
      <c r="NRN45" s="987"/>
      <c r="NRO45" s="987"/>
      <c r="NRP45" s="987"/>
      <c r="NRQ45" s="987"/>
      <c r="NRR45" s="987"/>
      <c r="NRS45" s="987"/>
      <c r="NRT45" s="987"/>
      <c r="NRU45" s="987"/>
      <c r="NRV45" s="987"/>
      <c r="NRW45" s="987"/>
      <c r="NRX45" s="987"/>
      <c r="NRY45" s="987"/>
      <c r="NRZ45" s="987"/>
      <c r="NSA45" s="987"/>
      <c r="NSB45" s="987"/>
      <c r="NSC45" s="987"/>
      <c r="NSD45" s="987"/>
      <c r="NSE45" s="987"/>
      <c r="NSF45" s="987"/>
      <c r="NSG45" s="987"/>
      <c r="NSH45" s="987"/>
      <c r="NSI45" s="987"/>
      <c r="NSJ45" s="987"/>
      <c r="NSK45" s="987"/>
      <c r="NSL45" s="987"/>
      <c r="NSM45" s="987"/>
      <c r="NSN45" s="987"/>
      <c r="NSO45" s="987"/>
      <c r="NSP45" s="987"/>
      <c r="NSQ45" s="987"/>
      <c r="NSR45" s="987"/>
      <c r="NSS45" s="987"/>
      <c r="NST45" s="987"/>
      <c r="NSU45" s="987"/>
      <c r="NSV45" s="987"/>
      <c r="NSW45" s="987"/>
      <c r="NSX45" s="987"/>
      <c r="NSY45" s="987"/>
      <c r="NSZ45" s="987"/>
      <c r="NTA45" s="987"/>
      <c r="NTB45" s="987"/>
      <c r="NTC45" s="987"/>
      <c r="NTD45" s="987"/>
      <c r="NTE45" s="987"/>
      <c r="NTF45" s="987"/>
      <c r="NTG45" s="987"/>
      <c r="NTH45" s="987"/>
      <c r="NTI45" s="987"/>
      <c r="NTJ45" s="987"/>
      <c r="NTK45" s="987"/>
      <c r="NTL45" s="987"/>
      <c r="NTM45" s="987"/>
      <c r="NTN45" s="987"/>
      <c r="NTO45" s="987"/>
      <c r="NTP45" s="987"/>
      <c r="NTQ45" s="987"/>
      <c r="NTR45" s="987"/>
      <c r="NTS45" s="987"/>
      <c r="NTT45" s="987"/>
      <c r="NTU45" s="987"/>
      <c r="NTV45" s="987"/>
      <c r="NTW45" s="987"/>
      <c r="NTX45" s="987"/>
      <c r="NTY45" s="987"/>
      <c r="NTZ45" s="987"/>
      <c r="NUA45" s="987"/>
      <c r="NUB45" s="987"/>
      <c r="NUC45" s="987"/>
      <c r="NUD45" s="987"/>
      <c r="NUE45" s="987"/>
      <c r="NUF45" s="987"/>
      <c r="NUG45" s="987"/>
      <c r="NUH45" s="987"/>
      <c r="NUI45" s="987"/>
      <c r="NUJ45" s="987"/>
      <c r="NUK45" s="987"/>
      <c r="NUL45" s="987"/>
      <c r="NUM45" s="987"/>
      <c r="NUN45" s="987"/>
      <c r="NUO45" s="987"/>
      <c r="NUP45" s="987"/>
      <c r="NUQ45" s="987"/>
      <c r="NUR45" s="987"/>
      <c r="NUS45" s="987"/>
      <c r="NUT45" s="987"/>
      <c r="NUU45" s="987"/>
      <c r="NUV45" s="987"/>
      <c r="NUW45" s="987"/>
      <c r="NUX45" s="987"/>
      <c r="NUY45" s="987"/>
      <c r="NUZ45" s="987"/>
      <c r="NVA45" s="987"/>
      <c r="NVB45" s="987"/>
      <c r="NVC45" s="987"/>
      <c r="NVD45" s="987"/>
      <c r="NVE45" s="987"/>
      <c r="NVF45" s="987"/>
      <c r="NVG45" s="987"/>
      <c r="NVH45" s="987"/>
      <c r="NVI45" s="987"/>
      <c r="NVJ45" s="987"/>
      <c r="NVK45" s="987"/>
      <c r="NVL45" s="987"/>
      <c r="NVM45" s="987"/>
      <c r="NVN45" s="987"/>
      <c r="NVO45" s="987"/>
      <c r="NVP45" s="987"/>
      <c r="NVQ45" s="987"/>
      <c r="NVR45" s="987"/>
      <c r="NVS45" s="987"/>
      <c r="NVT45" s="987"/>
      <c r="NVU45" s="987"/>
      <c r="NVV45" s="987"/>
      <c r="NVW45" s="987"/>
      <c r="NVX45" s="987"/>
      <c r="NVY45" s="987"/>
      <c r="NVZ45" s="987"/>
      <c r="NWA45" s="987"/>
      <c r="NWB45" s="987"/>
      <c r="NWC45" s="987"/>
      <c r="NWD45" s="987"/>
      <c r="NWE45" s="987"/>
      <c r="NWF45" s="987"/>
      <c r="NWG45" s="987"/>
      <c r="NWH45" s="987"/>
      <c r="NWI45" s="987"/>
      <c r="NWJ45" s="987"/>
      <c r="NWK45" s="987"/>
      <c r="NWL45" s="987"/>
      <c r="NWM45" s="987"/>
      <c r="NWN45" s="987"/>
      <c r="NWO45" s="987"/>
      <c r="NWP45" s="987"/>
      <c r="NWQ45" s="987"/>
      <c r="NWR45" s="987"/>
      <c r="NWS45" s="987"/>
      <c r="NWT45" s="987"/>
      <c r="NWU45" s="987"/>
      <c r="NWV45" s="987"/>
      <c r="NWW45" s="987"/>
      <c r="NWX45" s="987"/>
      <c r="NWY45" s="987"/>
      <c r="NWZ45" s="987"/>
      <c r="NXA45" s="987"/>
      <c r="NXB45" s="987"/>
      <c r="NXC45" s="987"/>
      <c r="NXD45" s="987"/>
      <c r="NXE45" s="987"/>
      <c r="NXF45" s="987"/>
      <c r="NXG45" s="987"/>
      <c r="NXH45" s="987"/>
      <c r="NXI45" s="987"/>
      <c r="NXJ45" s="987"/>
      <c r="NXK45" s="987"/>
      <c r="NXL45" s="987"/>
      <c r="NXM45" s="987"/>
      <c r="NXN45" s="987"/>
      <c r="NXO45" s="987"/>
      <c r="NXP45" s="987"/>
      <c r="NXQ45" s="987"/>
      <c r="NXR45" s="987"/>
      <c r="NXS45" s="987"/>
      <c r="NXT45" s="987"/>
      <c r="NXU45" s="987"/>
      <c r="NXV45" s="987"/>
      <c r="NXW45" s="987"/>
      <c r="NXX45" s="987"/>
      <c r="NXY45" s="987"/>
      <c r="NXZ45" s="987"/>
      <c r="NYA45" s="987"/>
      <c r="NYB45" s="987"/>
      <c r="NYC45" s="987"/>
      <c r="NYD45" s="987"/>
      <c r="NYE45" s="987"/>
      <c r="NYF45" s="987"/>
      <c r="NYG45" s="987"/>
      <c r="NYH45" s="987"/>
      <c r="NYI45" s="987"/>
      <c r="NYJ45" s="987"/>
      <c r="NYK45" s="987"/>
      <c r="NYL45" s="987"/>
      <c r="NYM45" s="987"/>
      <c r="NYN45" s="987"/>
      <c r="NYO45" s="987"/>
      <c r="NYP45" s="987"/>
      <c r="NYQ45" s="987"/>
      <c r="NYR45" s="987"/>
      <c r="NYS45" s="987"/>
      <c r="NYT45" s="987"/>
      <c r="NYU45" s="987"/>
      <c r="NYV45" s="987"/>
      <c r="NYW45" s="987"/>
      <c r="NYX45" s="987"/>
      <c r="NYY45" s="987"/>
      <c r="NYZ45" s="987"/>
      <c r="NZA45" s="987"/>
      <c r="NZB45" s="987"/>
      <c r="NZC45" s="987"/>
      <c r="NZD45" s="987"/>
      <c r="NZE45" s="987"/>
      <c r="NZF45" s="987"/>
      <c r="NZG45" s="987"/>
      <c r="NZH45" s="987"/>
      <c r="NZI45" s="987"/>
      <c r="NZJ45" s="987"/>
      <c r="NZK45" s="987"/>
      <c r="NZL45" s="987"/>
      <c r="NZM45" s="987"/>
      <c r="NZN45" s="987"/>
      <c r="NZO45" s="987"/>
      <c r="NZP45" s="987"/>
      <c r="NZQ45" s="987"/>
      <c r="NZR45" s="987"/>
      <c r="NZS45" s="987"/>
      <c r="NZT45" s="987"/>
      <c r="NZU45" s="987"/>
      <c r="NZV45" s="987"/>
      <c r="NZW45" s="987"/>
      <c r="NZX45" s="987"/>
      <c r="NZY45" s="987"/>
      <c r="NZZ45" s="987"/>
      <c r="OAA45" s="987"/>
      <c r="OAB45" s="987"/>
      <c r="OAC45" s="987"/>
      <c r="OAD45" s="987"/>
      <c r="OAE45" s="987"/>
      <c r="OAF45" s="987"/>
      <c r="OAG45" s="987"/>
      <c r="OAH45" s="987"/>
      <c r="OAI45" s="987"/>
      <c r="OAJ45" s="987"/>
      <c r="OAK45" s="987"/>
      <c r="OAL45" s="987"/>
      <c r="OAM45" s="987"/>
      <c r="OAN45" s="987"/>
      <c r="OAO45" s="987"/>
      <c r="OAP45" s="987"/>
      <c r="OAQ45" s="987"/>
      <c r="OAR45" s="987"/>
      <c r="OAS45" s="987"/>
      <c r="OAT45" s="987"/>
      <c r="OAU45" s="987"/>
      <c r="OAV45" s="987"/>
      <c r="OAW45" s="987"/>
      <c r="OAX45" s="987"/>
      <c r="OAY45" s="987"/>
      <c r="OAZ45" s="987"/>
      <c r="OBA45" s="987"/>
      <c r="OBB45" s="987"/>
      <c r="OBC45" s="987"/>
      <c r="OBD45" s="987"/>
      <c r="OBE45" s="987"/>
      <c r="OBF45" s="987"/>
      <c r="OBG45" s="987"/>
      <c r="OBH45" s="987"/>
      <c r="OBI45" s="987"/>
      <c r="OBJ45" s="987"/>
      <c r="OBK45" s="987"/>
      <c r="OBL45" s="987"/>
      <c r="OBM45" s="987"/>
      <c r="OBN45" s="987"/>
      <c r="OBO45" s="987"/>
      <c r="OBP45" s="987"/>
      <c r="OBQ45" s="987"/>
      <c r="OBR45" s="987"/>
      <c r="OBS45" s="987"/>
      <c r="OBT45" s="987"/>
      <c r="OBU45" s="987"/>
      <c r="OBV45" s="987"/>
      <c r="OBW45" s="987"/>
      <c r="OBX45" s="987"/>
      <c r="OBY45" s="987"/>
      <c r="OBZ45" s="987"/>
      <c r="OCA45" s="987"/>
      <c r="OCB45" s="987"/>
      <c r="OCC45" s="987"/>
      <c r="OCD45" s="987"/>
      <c r="OCE45" s="987"/>
      <c r="OCF45" s="987"/>
      <c r="OCG45" s="987"/>
      <c r="OCH45" s="987"/>
      <c r="OCI45" s="987"/>
      <c r="OCJ45" s="987"/>
      <c r="OCK45" s="987"/>
      <c r="OCL45" s="987"/>
      <c r="OCM45" s="987"/>
      <c r="OCN45" s="987"/>
      <c r="OCO45" s="987"/>
      <c r="OCP45" s="987"/>
      <c r="OCQ45" s="987"/>
      <c r="OCR45" s="987"/>
      <c r="OCS45" s="987"/>
      <c r="OCT45" s="987"/>
      <c r="OCU45" s="987"/>
      <c r="OCV45" s="987"/>
      <c r="OCW45" s="987"/>
      <c r="OCX45" s="987"/>
      <c r="OCY45" s="987"/>
      <c r="OCZ45" s="987"/>
      <c r="ODA45" s="987"/>
      <c r="ODB45" s="987"/>
      <c r="ODC45" s="987"/>
      <c r="ODD45" s="987"/>
      <c r="ODE45" s="987"/>
      <c r="ODF45" s="987"/>
      <c r="ODG45" s="987"/>
      <c r="ODH45" s="987"/>
      <c r="ODI45" s="987"/>
      <c r="ODJ45" s="987"/>
      <c r="ODK45" s="987"/>
      <c r="ODL45" s="987"/>
      <c r="ODM45" s="987"/>
      <c r="ODN45" s="987"/>
      <c r="ODO45" s="987"/>
      <c r="ODP45" s="987"/>
      <c r="ODQ45" s="987"/>
      <c r="ODR45" s="987"/>
      <c r="ODS45" s="987"/>
      <c r="ODT45" s="987"/>
      <c r="ODU45" s="987"/>
      <c r="ODV45" s="987"/>
      <c r="ODW45" s="987"/>
      <c r="ODX45" s="987"/>
      <c r="ODY45" s="987"/>
      <c r="ODZ45" s="987"/>
      <c r="OEA45" s="987"/>
      <c r="OEB45" s="987"/>
      <c r="OEC45" s="987"/>
      <c r="OED45" s="987"/>
      <c r="OEE45" s="987"/>
      <c r="OEF45" s="987"/>
      <c r="OEG45" s="987"/>
      <c r="OEH45" s="987"/>
      <c r="OEI45" s="987"/>
      <c r="OEJ45" s="987"/>
      <c r="OEK45" s="987"/>
      <c r="OEL45" s="987"/>
      <c r="OEM45" s="987"/>
      <c r="OEN45" s="987"/>
      <c r="OEO45" s="987"/>
      <c r="OEP45" s="987"/>
      <c r="OEQ45" s="987"/>
      <c r="OER45" s="987"/>
      <c r="OES45" s="987"/>
      <c r="OET45" s="987"/>
      <c r="OEU45" s="987"/>
      <c r="OEV45" s="987"/>
      <c r="OEW45" s="987"/>
      <c r="OEX45" s="987"/>
      <c r="OEY45" s="987"/>
      <c r="OEZ45" s="987"/>
      <c r="OFA45" s="987"/>
      <c r="OFB45" s="987"/>
      <c r="OFC45" s="987"/>
      <c r="OFD45" s="987"/>
      <c r="OFE45" s="987"/>
      <c r="OFF45" s="987"/>
      <c r="OFG45" s="987"/>
      <c r="OFH45" s="987"/>
      <c r="OFI45" s="987"/>
      <c r="OFJ45" s="987"/>
      <c r="OFK45" s="987"/>
      <c r="OFL45" s="987"/>
      <c r="OFM45" s="987"/>
      <c r="OFN45" s="987"/>
      <c r="OFO45" s="987"/>
      <c r="OFP45" s="987"/>
      <c r="OFQ45" s="987"/>
      <c r="OFR45" s="987"/>
      <c r="OFS45" s="987"/>
      <c r="OFT45" s="987"/>
      <c r="OFU45" s="987"/>
      <c r="OFV45" s="987"/>
      <c r="OFW45" s="987"/>
      <c r="OFX45" s="987"/>
      <c r="OFY45" s="987"/>
      <c r="OFZ45" s="987"/>
      <c r="OGA45" s="987"/>
      <c r="OGB45" s="987"/>
      <c r="OGC45" s="987"/>
      <c r="OGD45" s="987"/>
      <c r="OGE45" s="987"/>
      <c r="OGF45" s="987"/>
      <c r="OGG45" s="987"/>
      <c r="OGH45" s="987"/>
      <c r="OGI45" s="987"/>
      <c r="OGJ45" s="987"/>
      <c r="OGK45" s="987"/>
      <c r="OGL45" s="987"/>
      <c r="OGM45" s="987"/>
      <c r="OGN45" s="987"/>
      <c r="OGO45" s="987"/>
      <c r="OGP45" s="987"/>
      <c r="OGQ45" s="987"/>
      <c r="OGR45" s="987"/>
      <c r="OGS45" s="987"/>
      <c r="OGT45" s="987"/>
      <c r="OGU45" s="987"/>
      <c r="OGV45" s="987"/>
      <c r="OGW45" s="987"/>
      <c r="OGX45" s="987"/>
      <c r="OGY45" s="987"/>
      <c r="OGZ45" s="987"/>
      <c r="OHA45" s="987"/>
      <c r="OHB45" s="987"/>
      <c r="OHC45" s="987"/>
      <c r="OHD45" s="987"/>
      <c r="OHE45" s="987"/>
      <c r="OHF45" s="987"/>
      <c r="OHG45" s="987"/>
      <c r="OHH45" s="987"/>
      <c r="OHI45" s="987"/>
      <c r="OHJ45" s="987"/>
      <c r="OHK45" s="987"/>
      <c r="OHL45" s="987"/>
      <c r="OHM45" s="987"/>
      <c r="OHN45" s="987"/>
      <c r="OHO45" s="987"/>
      <c r="OHP45" s="987"/>
      <c r="OHQ45" s="987"/>
      <c r="OHR45" s="987"/>
      <c r="OHS45" s="987"/>
      <c r="OHT45" s="987"/>
      <c r="OHU45" s="987"/>
      <c r="OHV45" s="987"/>
      <c r="OHW45" s="987"/>
      <c r="OHX45" s="987"/>
      <c r="OHY45" s="987"/>
      <c r="OHZ45" s="987"/>
      <c r="OIA45" s="987"/>
      <c r="OIB45" s="987"/>
      <c r="OIC45" s="987"/>
      <c r="OID45" s="987"/>
      <c r="OIE45" s="987"/>
      <c r="OIF45" s="987"/>
      <c r="OIG45" s="987"/>
      <c r="OIH45" s="987"/>
      <c r="OII45" s="987"/>
      <c r="OIJ45" s="987"/>
      <c r="OIK45" s="987"/>
      <c r="OIL45" s="987"/>
      <c r="OIM45" s="987"/>
      <c r="OIN45" s="987"/>
      <c r="OIO45" s="987"/>
      <c r="OIP45" s="987"/>
      <c r="OIQ45" s="987"/>
      <c r="OIR45" s="987"/>
      <c r="OIS45" s="987"/>
      <c r="OIT45" s="987"/>
      <c r="OIU45" s="987"/>
      <c r="OIV45" s="987"/>
      <c r="OIW45" s="987"/>
      <c r="OIX45" s="987"/>
      <c r="OIY45" s="987"/>
      <c r="OIZ45" s="987"/>
      <c r="OJA45" s="987"/>
      <c r="OJB45" s="987"/>
      <c r="OJC45" s="987"/>
      <c r="OJD45" s="987"/>
      <c r="OJE45" s="987"/>
      <c r="OJF45" s="987"/>
      <c r="OJG45" s="987"/>
      <c r="OJH45" s="987"/>
      <c r="OJI45" s="987"/>
      <c r="OJJ45" s="987"/>
      <c r="OJK45" s="987"/>
      <c r="OJL45" s="987"/>
      <c r="OJM45" s="987"/>
      <c r="OJN45" s="987"/>
      <c r="OJO45" s="987"/>
      <c r="OJP45" s="987"/>
      <c r="OJQ45" s="987"/>
      <c r="OJR45" s="987"/>
      <c r="OJS45" s="987"/>
      <c r="OJT45" s="987"/>
      <c r="OJU45" s="987"/>
      <c r="OJV45" s="987"/>
      <c r="OJW45" s="987"/>
      <c r="OJX45" s="987"/>
      <c r="OJY45" s="987"/>
      <c r="OJZ45" s="987"/>
      <c r="OKA45" s="987"/>
      <c r="OKB45" s="987"/>
      <c r="OKC45" s="987"/>
      <c r="OKD45" s="987"/>
      <c r="OKE45" s="987"/>
      <c r="OKF45" s="987"/>
      <c r="OKG45" s="987"/>
      <c r="OKH45" s="987"/>
      <c r="OKI45" s="987"/>
      <c r="OKJ45" s="987"/>
      <c r="OKK45" s="987"/>
      <c r="OKL45" s="987"/>
      <c r="OKM45" s="987"/>
      <c r="OKN45" s="987"/>
      <c r="OKO45" s="987"/>
      <c r="OKP45" s="987"/>
      <c r="OKQ45" s="987"/>
      <c r="OKR45" s="987"/>
      <c r="OKS45" s="987"/>
      <c r="OKT45" s="987"/>
      <c r="OKU45" s="987"/>
      <c r="OKV45" s="987"/>
      <c r="OKW45" s="987"/>
      <c r="OKX45" s="987"/>
      <c r="OKY45" s="987"/>
      <c r="OKZ45" s="987"/>
      <c r="OLA45" s="987"/>
      <c r="OLB45" s="987"/>
      <c r="OLC45" s="987"/>
      <c r="OLD45" s="987"/>
      <c r="OLE45" s="987"/>
      <c r="OLF45" s="987"/>
      <c r="OLG45" s="987"/>
      <c r="OLH45" s="987"/>
      <c r="OLI45" s="987"/>
      <c r="OLJ45" s="987"/>
      <c r="OLK45" s="987"/>
      <c r="OLL45" s="987"/>
      <c r="OLM45" s="987"/>
      <c r="OLN45" s="987"/>
      <c r="OLO45" s="987"/>
      <c r="OLP45" s="987"/>
      <c r="OLQ45" s="987"/>
      <c r="OLR45" s="987"/>
      <c r="OLS45" s="987"/>
      <c r="OLT45" s="987"/>
      <c r="OLU45" s="987"/>
      <c r="OLV45" s="987"/>
      <c r="OLW45" s="987"/>
      <c r="OLX45" s="987"/>
      <c r="OLY45" s="987"/>
      <c r="OLZ45" s="987"/>
      <c r="OMA45" s="987"/>
      <c r="OMB45" s="987"/>
      <c r="OMC45" s="987"/>
      <c r="OMD45" s="987"/>
      <c r="OME45" s="987"/>
      <c r="OMF45" s="987"/>
      <c r="OMG45" s="987"/>
      <c r="OMH45" s="987"/>
      <c r="OMI45" s="987"/>
      <c r="OMJ45" s="987"/>
      <c r="OMK45" s="987"/>
      <c r="OML45" s="987"/>
      <c r="OMM45" s="987"/>
      <c r="OMN45" s="987"/>
      <c r="OMO45" s="987"/>
      <c r="OMP45" s="987"/>
      <c r="OMQ45" s="987"/>
      <c r="OMR45" s="987"/>
      <c r="OMS45" s="987"/>
      <c r="OMT45" s="987"/>
      <c r="OMU45" s="987"/>
      <c r="OMV45" s="987"/>
      <c r="OMW45" s="987"/>
      <c r="OMX45" s="987"/>
      <c r="OMY45" s="987"/>
      <c r="OMZ45" s="987"/>
      <c r="ONA45" s="987"/>
      <c r="ONB45" s="987"/>
      <c r="ONC45" s="987"/>
      <c r="OND45" s="987"/>
      <c r="ONE45" s="987"/>
      <c r="ONF45" s="987"/>
      <c r="ONG45" s="987"/>
      <c r="ONH45" s="987"/>
      <c r="ONI45" s="987"/>
      <c r="ONJ45" s="987"/>
      <c r="ONK45" s="987"/>
      <c r="ONL45" s="987"/>
      <c r="ONM45" s="987"/>
      <c r="ONN45" s="987"/>
      <c r="ONO45" s="987"/>
      <c r="ONP45" s="987"/>
      <c r="ONQ45" s="987"/>
      <c r="ONR45" s="987"/>
      <c r="ONS45" s="987"/>
      <c r="ONT45" s="987"/>
      <c r="ONU45" s="987"/>
      <c r="ONV45" s="987"/>
      <c r="ONW45" s="987"/>
      <c r="ONX45" s="987"/>
      <c r="ONY45" s="987"/>
      <c r="ONZ45" s="987"/>
      <c r="OOA45" s="987"/>
      <c r="OOB45" s="987"/>
      <c r="OOC45" s="987"/>
      <c r="OOD45" s="987"/>
      <c r="OOE45" s="987"/>
      <c r="OOF45" s="987"/>
      <c r="OOG45" s="987"/>
      <c r="OOH45" s="987"/>
      <c r="OOI45" s="987"/>
      <c r="OOJ45" s="987"/>
      <c r="OOK45" s="987"/>
      <c r="OOL45" s="987"/>
      <c r="OOM45" s="987"/>
      <c r="OON45" s="987"/>
      <c r="OOO45" s="987"/>
      <c r="OOP45" s="987"/>
      <c r="OOQ45" s="987"/>
      <c r="OOR45" s="987"/>
      <c r="OOS45" s="987"/>
      <c r="OOT45" s="987"/>
      <c r="OOU45" s="987"/>
      <c r="OOV45" s="987"/>
      <c r="OOW45" s="987"/>
      <c r="OOX45" s="987"/>
      <c r="OOY45" s="987"/>
      <c r="OOZ45" s="987"/>
      <c r="OPA45" s="987"/>
      <c r="OPB45" s="987"/>
      <c r="OPC45" s="987"/>
      <c r="OPD45" s="987"/>
      <c r="OPE45" s="987"/>
      <c r="OPF45" s="987"/>
      <c r="OPG45" s="987"/>
      <c r="OPH45" s="987"/>
      <c r="OPI45" s="987"/>
      <c r="OPJ45" s="987"/>
      <c r="OPK45" s="987"/>
      <c r="OPL45" s="987"/>
      <c r="OPM45" s="987"/>
      <c r="OPN45" s="987"/>
      <c r="OPO45" s="987"/>
      <c r="OPP45" s="987"/>
      <c r="OPQ45" s="987"/>
      <c r="OPR45" s="987"/>
      <c r="OPS45" s="987"/>
      <c r="OPT45" s="987"/>
      <c r="OPU45" s="987"/>
      <c r="OPV45" s="987"/>
      <c r="OPW45" s="987"/>
      <c r="OPX45" s="987"/>
      <c r="OPY45" s="987"/>
      <c r="OPZ45" s="987"/>
      <c r="OQA45" s="987"/>
      <c r="OQB45" s="987"/>
      <c r="OQC45" s="987"/>
      <c r="OQD45" s="987"/>
      <c r="OQE45" s="987"/>
      <c r="OQF45" s="987"/>
      <c r="OQG45" s="987"/>
      <c r="OQH45" s="987"/>
      <c r="OQI45" s="987"/>
      <c r="OQJ45" s="987"/>
      <c r="OQK45" s="987"/>
      <c r="OQL45" s="987"/>
      <c r="OQM45" s="987"/>
      <c r="OQN45" s="987"/>
      <c r="OQO45" s="987"/>
      <c r="OQP45" s="987"/>
      <c r="OQQ45" s="987"/>
      <c r="OQR45" s="987"/>
      <c r="OQS45" s="987"/>
      <c r="OQT45" s="987"/>
      <c r="OQU45" s="987"/>
      <c r="OQV45" s="987"/>
      <c r="OQW45" s="987"/>
      <c r="OQX45" s="987"/>
      <c r="OQY45" s="987"/>
      <c r="OQZ45" s="987"/>
      <c r="ORA45" s="987"/>
      <c r="ORB45" s="987"/>
      <c r="ORC45" s="987"/>
      <c r="ORD45" s="987"/>
      <c r="ORE45" s="987"/>
      <c r="ORF45" s="987"/>
      <c r="ORG45" s="987"/>
      <c r="ORH45" s="987"/>
      <c r="ORI45" s="987"/>
      <c r="ORJ45" s="987"/>
      <c r="ORK45" s="987"/>
      <c r="ORL45" s="987"/>
      <c r="ORM45" s="987"/>
      <c r="ORN45" s="987"/>
      <c r="ORO45" s="987"/>
      <c r="ORP45" s="987"/>
      <c r="ORQ45" s="987"/>
      <c r="ORR45" s="987"/>
      <c r="ORS45" s="987"/>
      <c r="ORT45" s="987"/>
      <c r="ORU45" s="987"/>
      <c r="ORV45" s="987"/>
      <c r="ORW45" s="987"/>
      <c r="ORX45" s="987"/>
      <c r="ORY45" s="987"/>
      <c r="ORZ45" s="987"/>
      <c r="OSA45" s="987"/>
      <c r="OSB45" s="987"/>
      <c r="OSC45" s="987"/>
      <c r="OSD45" s="987"/>
      <c r="OSE45" s="987"/>
      <c r="OSF45" s="987"/>
      <c r="OSG45" s="987"/>
      <c r="OSH45" s="987"/>
      <c r="OSI45" s="987"/>
      <c r="OSJ45" s="987"/>
      <c r="OSK45" s="987"/>
      <c r="OSL45" s="987"/>
      <c r="OSM45" s="987"/>
      <c r="OSN45" s="987"/>
      <c r="OSO45" s="987"/>
      <c r="OSP45" s="987"/>
      <c r="OSQ45" s="987"/>
      <c r="OSR45" s="987"/>
      <c r="OSS45" s="987"/>
      <c r="OST45" s="987"/>
      <c r="OSU45" s="987"/>
      <c r="OSV45" s="987"/>
      <c r="OSW45" s="987"/>
      <c r="OSX45" s="987"/>
      <c r="OSY45" s="987"/>
      <c r="OSZ45" s="987"/>
      <c r="OTA45" s="987"/>
      <c r="OTB45" s="987"/>
      <c r="OTC45" s="987"/>
      <c r="OTD45" s="987"/>
      <c r="OTE45" s="987"/>
      <c r="OTF45" s="987"/>
      <c r="OTG45" s="987"/>
      <c r="OTH45" s="987"/>
      <c r="OTI45" s="987"/>
      <c r="OTJ45" s="987"/>
      <c r="OTK45" s="987"/>
      <c r="OTL45" s="987"/>
      <c r="OTM45" s="987"/>
      <c r="OTN45" s="987"/>
      <c r="OTO45" s="987"/>
      <c r="OTP45" s="987"/>
      <c r="OTQ45" s="987"/>
      <c r="OTR45" s="987"/>
      <c r="OTS45" s="987"/>
      <c r="OTT45" s="987"/>
      <c r="OTU45" s="987"/>
      <c r="OTV45" s="987"/>
      <c r="OTW45" s="987"/>
      <c r="OTX45" s="987"/>
      <c r="OTY45" s="987"/>
      <c r="OTZ45" s="987"/>
      <c r="OUA45" s="987"/>
      <c r="OUB45" s="987"/>
      <c r="OUC45" s="987"/>
      <c r="OUD45" s="987"/>
      <c r="OUE45" s="987"/>
      <c r="OUF45" s="987"/>
      <c r="OUG45" s="987"/>
      <c r="OUH45" s="987"/>
      <c r="OUI45" s="987"/>
      <c r="OUJ45" s="987"/>
      <c r="OUK45" s="987"/>
      <c r="OUL45" s="987"/>
      <c r="OUM45" s="987"/>
      <c r="OUN45" s="987"/>
      <c r="OUO45" s="987"/>
      <c r="OUP45" s="987"/>
      <c r="OUQ45" s="987"/>
      <c r="OUR45" s="987"/>
      <c r="OUS45" s="987"/>
      <c r="OUT45" s="987"/>
      <c r="OUU45" s="987"/>
      <c r="OUV45" s="987"/>
      <c r="OUW45" s="987"/>
      <c r="OUX45" s="987"/>
      <c r="OUY45" s="987"/>
      <c r="OUZ45" s="987"/>
      <c r="OVA45" s="987"/>
      <c r="OVB45" s="987"/>
      <c r="OVC45" s="987"/>
      <c r="OVD45" s="987"/>
      <c r="OVE45" s="987"/>
      <c r="OVF45" s="987"/>
      <c r="OVG45" s="987"/>
      <c r="OVH45" s="987"/>
      <c r="OVI45" s="987"/>
      <c r="OVJ45" s="987"/>
      <c r="OVK45" s="987"/>
      <c r="OVL45" s="987"/>
      <c r="OVM45" s="987"/>
      <c r="OVN45" s="987"/>
      <c r="OVO45" s="987"/>
      <c r="OVP45" s="987"/>
      <c r="OVQ45" s="987"/>
      <c r="OVR45" s="987"/>
      <c r="OVS45" s="987"/>
      <c r="OVT45" s="987"/>
      <c r="OVU45" s="987"/>
      <c r="OVV45" s="987"/>
      <c r="OVW45" s="987"/>
      <c r="OVX45" s="987"/>
      <c r="OVY45" s="987"/>
      <c r="OVZ45" s="987"/>
      <c r="OWA45" s="987"/>
      <c r="OWB45" s="987"/>
      <c r="OWC45" s="987"/>
      <c r="OWD45" s="987"/>
      <c r="OWE45" s="987"/>
      <c r="OWF45" s="987"/>
      <c r="OWG45" s="987"/>
      <c r="OWH45" s="987"/>
      <c r="OWI45" s="987"/>
      <c r="OWJ45" s="987"/>
      <c r="OWK45" s="987"/>
      <c r="OWL45" s="987"/>
      <c r="OWM45" s="987"/>
      <c r="OWN45" s="987"/>
      <c r="OWO45" s="987"/>
      <c r="OWP45" s="987"/>
      <c r="OWQ45" s="987"/>
      <c r="OWR45" s="987"/>
      <c r="OWS45" s="987"/>
      <c r="OWT45" s="987"/>
      <c r="OWU45" s="987"/>
      <c r="OWV45" s="987"/>
      <c r="OWW45" s="987"/>
      <c r="OWX45" s="987"/>
      <c r="OWY45" s="987"/>
      <c r="OWZ45" s="987"/>
      <c r="OXA45" s="987"/>
      <c r="OXB45" s="987"/>
      <c r="OXC45" s="987"/>
      <c r="OXD45" s="987"/>
      <c r="OXE45" s="987"/>
      <c r="OXF45" s="987"/>
      <c r="OXG45" s="987"/>
      <c r="OXH45" s="987"/>
      <c r="OXI45" s="987"/>
      <c r="OXJ45" s="987"/>
      <c r="OXK45" s="987"/>
      <c r="OXL45" s="987"/>
      <c r="OXM45" s="987"/>
      <c r="OXN45" s="987"/>
      <c r="OXO45" s="987"/>
      <c r="OXP45" s="987"/>
      <c r="OXQ45" s="987"/>
      <c r="OXR45" s="987"/>
      <c r="OXS45" s="987"/>
      <c r="OXT45" s="987"/>
      <c r="OXU45" s="987"/>
      <c r="OXV45" s="987"/>
      <c r="OXW45" s="987"/>
      <c r="OXX45" s="987"/>
      <c r="OXY45" s="987"/>
      <c r="OXZ45" s="987"/>
      <c r="OYA45" s="987"/>
      <c r="OYB45" s="987"/>
      <c r="OYC45" s="987"/>
      <c r="OYD45" s="987"/>
      <c r="OYE45" s="987"/>
      <c r="OYF45" s="987"/>
      <c r="OYG45" s="987"/>
      <c r="OYH45" s="987"/>
      <c r="OYI45" s="987"/>
      <c r="OYJ45" s="987"/>
      <c r="OYK45" s="987"/>
      <c r="OYL45" s="987"/>
      <c r="OYM45" s="987"/>
      <c r="OYN45" s="987"/>
      <c r="OYO45" s="987"/>
      <c r="OYP45" s="987"/>
      <c r="OYQ45" s="987"/>
      <c r="OYR45" s="987"/>
      <c r="OYS45" s="987"/>
      <c r="OYT45" s="987"/>
      <c r="OYU45" s="987"/>
      <c r="OYV45" s="987"/>
      <c r="OYW45" s="987"/>
      <c r="OYX45" s="987"/>
      <c r="OYY45" s="987"/>
      <c r="OYZ45" s="987"/>
      <c r="OZA45" s="987"/>
      <c r="OZB45" s="987"/>
      <c r="OZC45" s="987"/>
      <c r="OZD45" s="987"/>
      <c r="OZE45" s="987"/>
      <c r="OZF45" s="987"/>
      <c r="OZG45" s="987"/>
      <c r="OZH45" s="987"/>
      <c r="OZI45" s="987"/>
      <c r="OZJ45" s="987"/>
      <c r="OZK45" s="987"/>
      <c r="OZL45" s="987"/>
      <c r="OZM45" s="987"/>
      <c r="OZN45" s="987"/>
      <c r="OZO45" s="987"/>
      <c r="OZP45" s="987"/>
      <c r="OZQ45" s="987"/>
      <c r="OZR45" s="987"/>
      <c r="OZS45" s="987"/>
      <c r="OZT45" s="987"/>
      <c r="OZU45" s="987"/>
      <c r="OZV45" s="987"/>
      <c r="OZW45" s="987"/>
      <c r="OZX45" s="987"/>
      <c r="OZY45" s="987"/>
      <c r="OZZ45" s="987"/>
      <c r="PAA45" s="987"/>
      <c r="PAB45" s="987"/>
      <c r="PAC45" s="987"/>
      <c r="PAD45" s="987"/>
      <c r="PAE45" s="987"/>
      <c r="PAF45" s="987"/>
      <c r="PAG45" s="987"/>
      <c r="PAH45" s="987"/>
      <c r="PAI45" s="987"/>
      <c r="PAJ45" s="987"/>
      <c r="PAK45" s="987"/>
      <c r="PAL45" s="987"/>
      <c r="PAM45" s="987"/>
      <c r="PAN45" s="987"/>
      <c r="PAO45" s="987"/>
      <c r="PAP45" s="987"/>
      <c r="PAQ45" s="987"/>
      <c r="PAR45" s="987"/>
      <c r="PAS45" s="987"/>
      <c r="PAT45" s="987"/>
      <c r="PAU45" s="987"/>
      <c r="PAV45" s="987"/>
      <c r="PAW45" s="987"/>
      <c r="PAX45" s="987"/>
      <c r="PAY45" s="987"/>
      <c r="PAZ45" s="987"/>
      <c r="PBA45" s="987"/>
      <c r="PBB45" s="987"/>
      <c r="PBC45" s="987"/>
      <c r="PBD45" s="987"/>
      <c r="PBE45" s="987"/>
      <c r="PBF45" s="987"/>
      <c r="PBG45" s="987"/>
      <c r="PBH45" s="987"/>
      <c r="PBI45" s="987"/>
      <c r="PBJ45" s="987"/>
      <c r="PBK45" s="987"/>
      <c r="PBL45" s="987"/>
      <c r="PBM45" s="987"/>
      <c r="PBN45" s="987"/>
      <c r="PBO45" s="987"/>
      <c r="PBP45" s="987"/>
      <c r="PBQ45" s="987"/>
      <c r="PBR45" s="987"/>
      <c r="PBS45" s="987"/>
      <c r="PBT45" s="987"/>
      <c r="PBU45" s="987"/>
      <c r="PBV45" s="987"/>
      <c r="PBW45" s="987"/>
      <c r="PBX45" s="987"/>
      <c r="PBY45" s="987"/>
      <c r="PBZ45" s="987"/>
      <c r="PCA45" s="987"/>
      <c r="PCB45" s="987"/>
      <c r="PCC45" s="987"/>
      <c r="PCD45" s="987"/>
      <c r="PCE45" s="987"/>
      <c r="PCF45" s="987"/>
      <c r="PCG45" s="987"/>
      <c r="PCH45" s="987"/>
      <c r="PCI45" s="987"/>
      <c r="PCJ45" s="987"/>
      <c r="PCK45" s="987"/>
      <c r="PCL45" s="987"/>
      <c r="PCM45" s="987"/>
      <c r="PCN45" s="987"/>
      <c r="PCO45" s="987"/>
      <c r="PCP45" s="987"/>
      <c r="PCQ45" s="987"/>
      <c r="PCR45" s="987"/>
      <c r="PCS45" s="987"/>
      <c r="PCT45" s="987"/>
      <c r="PCU45" s="987"/>
      <c r="PCV45" s="987"/>
      <c r="PCW45" s="987"/>
      <c r="PCX45" s="987"/>
      <c r="PCY45" s="987"/>
      <c r="PCZ45" s="987"/>
      <c r="PDA45" s="987"/>
      <c r="PDB45" s="987"/>
      <c r="PDC45" s="987"/>
      <c r="PDD45" s="987"/>
      <c r="PDE45" s="987"/>
      <c r="PDF45" s="987"/>
      <c r="PDG45" s="987"/>
      <c r="PDH45" s="987"/>
      <c r="PDI45" s="987"/>
      <c r="PDJ45" s="987"/>
      <c r="PDK45" s="987"/>
      <c r="PDL45" s="987"/>
      <c r="PDM45" s="987"/>
      <c r="PDN45" s="987"/>
      <c r="PDO45" s="987"/>
      <c r="PDP45" s="987"/>
      <c r="PDQ45" s="987"/>
      <c r="PDR45" s="987"/>
      <c r="PDS45" s="987"/>
      <c r="PDT45" s="987"/>
      <c r="PDU45" s="987"/>
      <c r="PDV45" s="987"/>
      <c r="PDW45" s="987"/>
      <c r="PDX45" s="987"/>
      <c r="PDY45" s="987"/>
      <c r="PDZ45" s="987"/>
      <c r="PEA45" s="987"/>
      <c r="PEB45" s="987"/>
      <c r="PEC45" s="987"/>
      <c r="PED45" s="987"/>
      <c r="PEE45" s="987"/>
      <c r="PEF45" s="987"/>
      <c r="PEG45" s="987"/>
      <c r="PEH45" s="987"/>
      <c r="PEI45" s="987"/>
      <c r="PEJ45" s="987"/>
      <c r="PEK45" s="987"/>
      <c r="PEL45" s="987"/>
      <c r="PEM45" s="987"/>
      <c r="PEN45" s="987"/>
      <c r="PEO45" s="987"/>
      <c r="PEP45" s="987"/>
      <c r="PEQ45" s="987"/>
      <c r="PER45" s="987"/>
      <c r="PES45" s="987"/>
      <c r="PET45" s="987"/>
      <c r="PEU45" s="987"/>
      <c r="PEV45" s="987"/>
      <c r="PEW45" s="987"/>
      <c r="PEX45" s="987"/>
      <c r="PEY45" s="987"/>
      <c r="PEZ45" s="987"/>
      <c r="PFA45" s="987"/>
      <c r="PFB45" s="987"/>
      <c r="PFC45" s="987"/>
      <c r="PFD45" s="987"/>
      <c r="PFE45" s="987"/>
      <c r="PFF45" s="987"/>
      <c r="PFG45" s="987"/>
      <c r="PFH45" s="987"/>
      <c r="PFI45" s="987"/>
      <c r="PFJ45" s="987"/>
      <c r="PFK45" s="987"/>
      <c r="PFL45" s="987"/>
      <c r="PFM45" s="987"/>
      <c r="PFN45" s="987"/>
      <c r="PFO45" s="987"/>
      <c r="PFP45" s="987"/>
      <c r="PFQ45" s="987"/>
      <c r="PFR45" s="987"/>
      <c r="PFS45" s="987"/>
      <c r="PFT45" s="987"/>
      <c r="PFU45" s="987"/>
      <c r="PFV45" s="987"/>
      <c r="PFW45" s="987"/>
      <c r="PFX45" s="987"/>
      <c r="PFY45" s="987"/>
      <c r="PFZ45" s="987"/>
      <c r="PGA45" s="987"/>
      <c r="PGB45" s="987"/>
      <c r="PGC45" s="987"/>
      <c r="PGD45" s="987"/>
      <c r="PGE45" s="987"/>
      <c r="PGF45" s="987"/>
      <c r="PGG45" s="987"/>
      <c r="PGH45" s="987"/>
      <c r="PGI45" s="987"/>
      <c r="PGJ45" s="987"/>
      <c r="PGK45" s="987"/>
      <c r="PGL45" s="987"/>
      <c r="PGM45" s="987"/>
      <c r="PGN45" s="987"/>
      <c r="PGO45" s="987"/>
      <c r="PGP45" s="987"/>
      <c r="PGQ45" s="987"/>
      <c r="PGR45" s="987"/>
      <c r="PGS45" s="987"/>
      <c r="PGT45" s="987"/>
      <c r="PGU45" s="987"/>
      <c r="PGV45" s="987"/>
      <c r="PGW45" s="987"/>
      <c r="PGX45" s="987"/>
      <c r="PGY45" s="987"/>
      <c r="PGZ45" s="987"/>
      <c r="PHA45" s="987"/>
      <c r="PHB45" s="987"/>
      <c r="PHC45" s="987"/>
      <c r="PHD45" s="987"/>
      <c r="PHE45" s="987"/>
      <c r="PHF45" s="987"/>
      <c r="PHG45" s="987"/>
      <c r="PHH45" s="987"/>
      <c r="PHI45" s="987"/>
      <c r="PHJ45" s="987"/>
      <c r="PHK45" s="987"/>
      <c r="PHL45" s="987"/>
      <c r="PHM45" s="987"/>
      <c r="PHN45" s="987"/>
      <c r="PHO45" s="987"/>
      <c r="PHP45" s="987"/>
      <c r="PHQ45" s="987"/>
      <c r="PHR45" s="987"/>
      <c r="PHS45" s="987"/>
      <c r="PHT45" s="987"/>
      <c r="PHU45" s="987"/>
      <c r="PHV45" s="987"/>
      <c r="PHW45" s="987"/>
      <c r="PHX45" s="987"/>
      <c r="PHY45" s="987"/>
      <c r="PHZ45" s="987"/>
      <c r="PIA45" s="987"/>
      <c r="PIB45" s="987"/>
      <c r="PIC45" s="987"/>
      <c r="PID45" s="987"/>
      <c r="PIE45" s="987"/>
      <c r="PIF45" s="987"/>
      <c r="PIG45" s="987"/>
      <c r="PIH45" s="987"/>
      <c r="PII45" s="987"/>
      <c r="PIJ45" s="987"/>
      <c r="PIK45" s="987"/>
      <c r="PIL45" s="987"/>
      <c r="PIM45" s="987"/>
      <c r="PIN45" s="987"/>
      <c r="PIO45" s="987"/>
      <c r="PIP45" s="987"/>
      <c r="PIQ45" s="987"/>
      <c r="PIR45" s="987"/>
      <c r="PIS45" s="987"/>
      <c r="PIT45" s="987"/>
      <c r="PIU45" s="987"/>
      <c r="PIV45" s="987"/>
      <c r="PIW45" s="987"/>
      <c r="PIX45" s="987"/>
      <c r="PIY45" s="987"/>
      <c r="PIZ45" s="987"/>
      <c r="PJA45" s="987"/>
      <c r="PJB45" s="987"/>
      <c r="PJC45" s="987"/>
      <c r="PJD45" s="987"/>
      <c r="PJE45" s="987"/>
      <c r="PJF45" s="987"/>
      <c r="PJG45" s="987"/>
      <c r="PJH45" s="987"/>
      <c r="PJI45" s="987"/>
      <c r="PJJ45" s="987"/>
      <c r="PJK45" s="987"/>
      <c r="PJL45" s="987"/>
      <c r="PJM45" s="987"/>
      <c r="PJN45" s="987"/>
      <c r="PJO45" s="987"/>
      <c r="PJP45" s="987"/>
      <c r="PJQ45" s="987"/>
      <c r="PJR45" s="987"/>
      <c r="PJS45" s="987"/>
      <c r="PJT45" s="987"/>
      <c r="PJU45" s="987"/>
      <c r="PJV45" s="987"/>
      <c r="PJW45" s="987"/>
      <c r="PJX45" s="987"/>
      <c r="PJY45" s="987"/>
      <c r="PJZ45" s="987"/>
      <c r="PKA45" s="987"/>
      <c r="PKB45" s="987"/>
      <c r="PKC45" s="987"/>
      <c r="PKD45" s="987"/>
      <c r="PKE45" s="987"/>
      <c r="PKF45" s="987"/>
      <c r="PKG45" s="987"/>
      <c r="PKH45" s="987"/>
      <c r="PKI45" s="987"/>
      <c r="PKJ45" s="987"/>
      <c r="PKK45" s="987"/>
      <c r="PKL45" s="987"/>
      <c r="PKM45" s="987"/>
      <c r="PKN45" s="987"/>
      <c r="PKO45" s="987"/>
      <c r="PKP45" s="987"/>
      <c r="PKQ45" s="987"/>
      <c r="PKR45" s="987"/>
      <c r="PKS45" s="987"/>
      <c r="PKT45" s="987"/>
      <c r="PKU45" s="987"/>
      <c r="PKV45" s="987"/>
      <c r="PKW45" s="987"/>
      <c r="PKX45" s="987"/>
      <c r="PKY45" s="987"/>
      <c r="PKZ45" s="987"/>
      <c r="PLA45" s="987"/>
      <c r="PLB45" s="987"/>
      <c r="PLC45" s="987"/>
      <c r="PLD45" s="987"/>
      <c r="PLE45" s="987"/>
      <c r="PLF45" s="987"/>
      <c r="PLG45" s="987"/>
      <c r="PLH45" s="987"/>
      <c r="PLI45" s="987"/>
      <c r="PLJ45" s="987"/>
      <c r="PLK45" s="987"/>
      <c r="PLL45" s="987"/>
      <c r="PLM45" s="987"/>
      <c r="PLN45" s="987"/>
      <c r="PLO45" s="987"/>
      <c r="PLP45" s="987"/>
      <c r="PLQ45" s="987"/>
      <c r="PLR45" s="987"/>
      <c r="PLS45" s="987"/>
      <c r="PLT45" s="987"/>
      <c r="PLU45" s="987"/>
      <c r="PLV45" s="987"/>
      <c r="PLW45" s="987"/>
      <c r="PLX45" s="987"/>
      <c r="PLY45" s="987"/>
      <c r="PLZ45" s="987"/>
      <c r="PMA45" s="987"/>
      <c r="PMB45" s="987"/>
      <c r="PMC45" s="987"/>
      <c r="PMD45" s="987"/>
      <c r="PME45" s="987"/>
      <c r="PMF45" s="987"/>
      <c r="PMG45" s="987"/>
      <c r="PMH45" s="987"/>
      <c r="PMI45" s="987"/>
      <c r="PMJ45" s="987"/>
      <c r="PMK45" s="987"/>
      <c r="PML45" s="987"/>
      <c r="PMM45" s="987"/>
      <c r="PMN45" s="987"/>
      <c r="PMO45" s="987"/>
      <c r="PMP45" s="987"/>
      <c r="PMQ45" s="987"/>
      <c r="PMR45" s="987"/>
      <c r="PMS45" s="987"/>
      <c r="PMT45" s="987"/>
      <c r="PMU45" s="987"/>
      <c r="PMV45" s="987"/>
      <c r="PMW45" s="987"/>
      <c r="PMX45" s="987"/>
      <c r="PMY45" s="987"/>
      <c r="PMZ45" s="987"/>
      <c r="PNA45" s="987"/>
      <c r="PNB45" s="987"/>
      <c r="PNC45" s="987"/>
      <c r="PND45" s="987"/>
      <c r="PNE45" s="987"/>
      <c r="PNF45" s="987"/>
      <c r="PNG45" s="987"/>
      <c r="PNH45" s="987"/>
      <c r="PNI45" s="987"/>
      <c r="PNJ45" s="987"/>
      <c r="PNK45" s="987"/>
      <c r="PNL45" s="987"/>
      <c r="PNM45" s="987"/>
      <c r="PNN45" s="987"/>
      <c r="PNO45" s="987"/>
      <c r="PNP45" s="987"/>
      <c r="PNQ45" s="987"/>
      <c r="PNR45" s="987"/>
      <c r="PNS45" s="987"/>
      <c r="PNT45" s="987"/>
      <c r="PNU45" s="987"/>
      <c r="PNV45" s="987"/>
      <c r="PNW45" s="987"/>
      <c r="PNX45" s="987"/>
      <c r="PNY45" s="987"/>
      <c r="PNZ45" s="987"/>
      <c r="POA45" s="987"/>
      <c r="POB45" s="987"/>
      <c r="POC45" s="987"/>
      <c r="POD45" s="987"/>
      <c r="POE45" s="987"/>
      <c r="POF45" s="987"/>
      <c r="POG45" s="987"/>
      <c r="POH45" s="987"/>
      <c r="POI45" s="987"/>
      <c r="POJ45" s="987"/>
      <c r="POK45" s="987"/>
      <c r="POL45" s="987"/>
      <c r="POM45" s="987"/>
      <c r="PON45" s="987"/>
      <c r="POO45" s="987"/>
      <c r="POP45" s="987"/>
      <c r="POQ45" s="987"/>
      <c r="POR45" s="987"/>
      <c r="POS45" s="987"/>
      <c r="POT45" s="987"/>
      <c r="POU45" s="987"/>
      <c r="POV45" s="987"/>
      <c r="POW45" s="987"/>
      <c r="POX45" s="987"/>
      <c r="POY45" s="987"/>
      <c r="POZ45" s="987"/>
      <c r="PPA45" s="987"/>
      <c r="PPB45" s="987"/>
      <c r="PPC45" s="987"/>
      <c r="PPD45" s="987"/>
      <c r="PPE45" s="987"/>
      <c r="PPF45" s="987"/>
      <c r="PPG45" s="987"/>
      <c r="PPH45" s="987"/>
      <c r="PPI45" s="987"/>
      <c r="PPJ45" s="987"/>
      <c r="PPK45" s="987"/>
      <c r="PPL45" s="987"/>
      <c r="PPM45" s="987"/>
      <c r="PPN45" s="987"/>
      <c r="PPO45" s="987"/>
      <c r="PPP45" s="987"/>
      <c r="PPQ45" s="987"/>
      <c r="PPR45" s="987"/>
      <c r="PPS45" s="987"/>
      <c r="PPT45" s="987"/>
      <c r="PPU45" s="987"/>
      <c r="PPV45" s="987"/>
      <c r="PPW45" s="987"/>
      <c r="PPX45" s="987"/>
      <c r="PPY45" s="987"/>
      <c r="PPZ45" s="987"/>
      <c r="PQA45" s="987"/>
      <c r="PQB45" s="987"/>
      <c r="PQC45" s="987"/>
      <c r="PQD45" s="987"/>
      <c r="PQE45" s="987"/>
      <c r="PQF45" s="987"/>
      <c r="PQG45" s="987"/>
      <c r="PQH45" s="987"/>
      <c r="PQI45" s="987"/>
      <c r="PQJ45" s="987"/>
      <c r="PQK45" s="987"/>
      <c r="PQL45" s="987"/>
      <c r="PQM45" s="987"/>
      <c r="PQN45" s="987"/>
      <c r="PQO45" s="987"/>
      <c r="PQP45" s="987"/>
      <c r="PQQ45" s="987"/>
      <c r="PQR45" s="987"/>
      <c r="PQS45" s="987"/>
      <c r="PQT45" s="987"/>
      <c r="PQU45" s="987"/>
      <c r="PQV45" s="987"/>
      <c r="PQW45" s="987"/>
      <c r="PQX45" s="987"/>
      <c r="PQY45" s="987"/>
      <c r="PQZ45" s="987"/>
      <c r="PRA45" s="987"/>
      <c r="PRB45" s="987"/>
      <c r="PRC45" s="987"/>
      <c r="PRD45" s="987"/>
      <c r="PRE45" s="987"/>
      <c r="PRF45" s="987"/>
      <c r="PRG45" s="987"/>
      <c r="PRH45" s="987"/>
      <c r="PRI45" s="987"/>
      <c r="PRJ45" s="987"/>
      <c r="PRK45" s="987"/>
      <c r="PRL45" s="987"/>
      <c r="PRM45" s="987"/>
      <c r="PRN45" s="987"/>
      <c r="PRO45" s="987"/>
      <c r="PRP45" s="987"/>
      <c r="PRQ45" s="987"/>
      <c r="PRR45" s="987"/>
      <c r="PRS45" s="987"/>
      <c r="PRT45" s="987"/>
      <c r="PRU45" s="987"/>
      <c r="PRV45" s="987"/>
      <c r="PRW45" s="987"/>
      <c r="PRX45" s="987"/>
      <c r="PRY45" s="987"/>
      <c r="PRZ45" s="987"/>
      <c r="PSA45" s="987"/>
      <c r="PSB45" s="987"/>
      <c r="PSC45" s="987"/>
      <c r="PSD45" s="987"/>
      <c r="PSE45" s="987"/>
      <c r="PSF45" s="987"/>
      <c r="PSG45" s="987"/>
      <c r="PSH45" s="987"/>
      <c r="PSI45" s="987"/>
      <c r="PSJ45" s="987"/>
      <c r="PSK45" s="987"/>
      <c r="PSL45" s="987"/>
      <c r="PSM45" s="987"/>
      <c r="PSN45" s="987"/>
      <c r="PSO45" s="987"/>
      <c r="PSP45" s="987"/>
      <c r="PSQ45" s="987"/>
      <c r="PSR45" s="987"/>
      <c r="PSS45" s="987"/>
      <c r="PST45" s="987"/>
      <c r="PSU45" s="987"/>
      <c r="PSV45" s="987"/>
      <c r="PSW45" s="987"/>
      <c r="PSX45" s="987"/>
      <c r="PSY45" s="987"/>
      <c r="PSZ45" s="987"/>
      <c r="PTA45" s="987"/>
      <c r="PTB45" s="987"/>
      <c r="PTC45" s="987"/>
      <c r="PTD45" s="987"/>
      <c r="PTE45" s="987"/>
      <c r="PTF45" s="987"/>
      <c r="PTG45" s="987"/>
      <c r="PTH45" s="987"/>
      <c r="PTI45" s="987"/>
      <c r="PTJ45" s="987"/>
      <c r="PTK45" s="987"/>
      <c r="PTL45" s="987"/>
      <c r="PTM45" s="987"/>
      <c r="PTN45" s="987"/>
      <c r="PTO45" s="987"/>
      <c r="PTP45" s="987"/>
      <c r="PTQ45" s="987"/>
      <c r="PTR45" s="987"/>
      <c r="PTS45" s="987"/>
      <c r="PTT45" s="987"/>
      <c r="PTU45" s="987"/>
      <c r="PTV45" s="987"/>
      <c r="PTW45" s="987"/>
      <c r="PTX45" s="987"/>
      <c r="PTY45" s="987"/>
      <c r="PTZ45" s="987"/>
      <c r="PUA45" s="987"/>
      <c r="PUB45" s="987"/>
      <c r="PUC45" s="987"/>
      <c r="PUD45" s="987"/>
      <c r="PUE45" s="987"/>
      <c r="PUF45" s="987"/>
      <c r="PUG45" s="987"/>
      <c r="PUH45" s="987"/>
      <c r="PUI45" s="987"/>
      <c r="PUJ45" s="987"/>
      <c r="PUK45" s="987"/>
      <c r="PUL45" s="987"/>
      <c r="PUM45" s="987"/>
      <c r="PUN45" s="987"/>
      <c r="PUO45" s="987"/>
      <c r="PUP45" s="987"/>
      <c r="PUQ45" s="987"/>
      <c r="PUR45" s="987"/>
      <c r="PUS45" s="987"/>
      <c r="PUT45" s="987"/>
      <c r="PUU45" s="987"/>
      <c r="PUV45" s="987"/>
      <c r="PUW45" s="987"/>
      <c r="PUX45" s="987"/>
      <c r="PUY45" s="987"/>
      <c r="PUZ45" s="987"/>
      <c r="PVA45" s="987"/>
      <c r="PVB45" s="987"/>
      <c r="PVC45" s="987"/>
      <c r="PVD45" s="987"/>
      <c r="PVE45" s="987"/>
      <c r="PVF45" s="987"/>
      <c r="PVG45" s="987"/>
      <c r="PVH45" s="987"/>
      <c r="PVI45" s="987"/>
      <c r="PVJ45" s="987"/>
      <c r="PVK45" s="987"/>
      <c r="PVL45" s="987"/>
      <c r="PVM45" s="987"/>
      <c r="PVN45" s="987"/>
      <c r="PVO45" s="987"/>
      <c r="PVP45" s="987"/>
      <c r="PVQ45" s="987"/>
      <c r="PVR45" s="987"/>
      <c r="PVS45" s="987"/>
      <c r="PVT45" s="987"/>
      <c r="PVU45" s="987"/>
      <c r="PVV45" s="987"/>
      <c r="PVW45" s="987"/>
      <c r="PVX45" s="987"/>
      <c r="PVY45" s="987"/>
      <c r="PVZ45" s="987"/>
      <c r="PWA45" s="987"/>
      <c r="PWB45" s="987"/>
      <c r="PWC45" s="987"/>
      <c r="PWD45" s="987"/>
      <c r="PWE45" s="987"/>
      <c r="PWF45" s="987"/>
      <c r="PWG45" s="987"/>
      <c r="PWH45" s="987"/>
      <c r="PWI45" s="987"/>
      <c r="PWJ45" s="987"/>
      <c r="PWK45" s="987"/>
      <c r="PWL45" s="987"/>
      <c r="PWM45" s="987"/>
      <c r="PWN45" s="987"/>
      <c r="PWO45" s="987"/>
      <c r="PWP45" s="987"/>
      <c r="PWQ45" s="987"/>
      <c r="PWR45" s="987"/>
      <c r="PWS45" s="987"/>
      <c r="PWT45" s="987"/>
      <c r="PWU45" s="987"/>
      <c r="PWV45" s="987"/>
      <c r="PWW45" s="987"/>
      <c r="PWX45" s="987"/>
      <c r="PWY45" s="987"/>
      <c r="PWZ45" s="987"/>
      <c r="PXA45" s="987"/>
      <c r="PXB45" s="987"/>
      <c r="PXC45" s="987"/>
      <c r="PXD45" s="987"/>
      <c r="PXE45" s="987"/>
      <c r="PXF45" s="987"/>
      <c r="PXG45" s="987"/>
      <c r="PXH45" s="987"/>
      <c r="PXI45" s="987"/>
      <c r="PXJ45" s="987"/>
      <c r="PXK45" s="987"/>
      <c r="PXL45" s="987"/>
      <c r="PXM45" s="987"/>
      <c r="PXN45" s="987"/>
      <c r="PXO45" s="987"/>
      <c r="PXP45" s="987"/>
      <c r="PXQ45" s="987"/>
      <c r="PXR45" s="987"/>
      <c r="PXS45" s="987"/>
      <c r="PXT45" s="987"/>
      <c r="PXU45" s="987"/>
      <c r="PXV45" s="987"/>
      <c r="PXW45" s="987"/>
      <c r="PXX45" s="987"/>
      <c r="PXY45" s="987"/>
      <c r="PXZ45" s="987"/>
      <c r="PYA45" s="987"/>
      <c r="PYB45" s="987"/>
      <c r="PYC45" s="987"/>
      <c r="PYD45" s="987"/>
      <c r="PYE45" s="987"/>
      <c r="PYF45" s="987"/>
      <c r="PYG45" s="987"/>
      <c r="PYH45" s="987"/>
      <c r="PYI45" s="987"/>
      <c r="PYJ45" s="987"/>
      <c r="PYK45" s="987"/>
      <c r="PYL45" s="987"/>
      <c r="PYM45" s="987"/>
      <c r="PYN45" s="987"/>
      <c r="PYO45" s="987"/>
      <c r="PYP45" s="987"/>
      <c r="PYQ45" s="987"/>
      <c r="PYR45" s="987"/>
      <c r="PYS45" s="987"/>
      <c r="PYT45" s="987"/>
      <c r="PYU45" s="987"/>
      <c r="PYV45" s="987"/>
      <c r="PYW45" s="987"/>
      <c r="PYX45" s="987"/>
      <c r="PYY45" s="987"/>
      <c r="PYZ45" s="987"/>
      <c r="PZA45" s="987"/>
      <c r="PZB45" s="987"/>
      <c r="PZC45" s="987"/>
      <c r="PZD45" s="987"/>
      <c r="PZE45" s="987"/>
      <c r="PZF45" s="987"/>
      <c r="PZG45" s="987"/>
      <c r="PZH45" s="987"/>
      <c r="PZI45" s="987"/>
      <c r="PZJ45" s="987"/>
      <c r="PZK45" s="987"/>
      <c r="PZL45" s="987"/>
      <c r="PZM45" s="987"/>
      <c r="PZN45" s="987"/>
      <c r="PZO45" s="987"/>
      <c r="PZP45" s="987"/>
      <c r="PZQ45" s="987"/>
      <c r="PZR45" s="987"/>
      <c r="PZS45" s="987"/>
      <c r="PZT45" s="987"/>
      <c r="PZU45" s="987"/>
      <c r="PZV45" s="987"/>
      <c r="PZW45" s="987"/>
      <c r="PZX45" s="987"/>
      <c r="PZY45" s="987"/>
      <c r="PZZ45" s="987"/>
      <c r="QAA45" s="987"/>
      <c r="QAB45" s="987"/>
      <c r="QAC45" s="987"/>
      <c r="QAD45" s="987"/>
      <c r="QAE45" s="987"/>
      <c r="QAF45" s="987"/>
      <c r="QAG45" s="987"/>
      <c r="QAH45" s="987"/>
      <c r="QAI45" s="987"/>
      <c r="QAJ45" s="987"/>
      <c r="QAK45" s="987"/>
      <c r="QAL45" s="987"/>
      <c r="QAM45" s="987"/>
      <c r="QAN45" s="987"/>
      <c r="QAO45" s="987"/>
      <c r="QAP45" s="987"/>
      <c r="QAQ45" s="987"/>
      <c r="QAR45" s="987"/>
      <c r="QAS45" s="987"/>
      <c r="QAT45" s="987"/>
      <c r="QAU45" s="987"/>
      <c r="QAV45" s="987"/>
      <c r="QAW45" s="987"/>
      <c r="QAX45" s="987"/>
      <c r="QAY45" s="987"/>
      <c r="QAZ45" s="987"/>
      <c r="QBA45" s="987"/>
      <c r="QBB45" s="987"/>
      <c r="QBC45" s="987"/>
      <c r="QBD45" s="987"/>
      <c r="QBE45" s="987"/>
      <c r="QBF45" s="987"/>
      <c r="QBG45" s="987"/>
      <c r="QBH45" s="987"/>
      <c r="QBI45" s="987"/>
      <c r="QBJ45" s="987"/>
      <c r="QBK45" s="987"/>
      <c r="QBL45" s="987"/>
      <c r="QBM45" s="987"/>
      <c r="QBN45" s="987"/>
      <c r="QBO45" s="987"/>
      <c r="QBP45" s="987"/>
      <c r="QBQ45" s="987"/>
      <c r="QBR45" s="987"/>
      <c r="QBS45" s="987"/>
      <c r="QBT45" s="987"/>
      <c r="QBU45" s="987"/>
      <c r="QBV45" s="987"/>
      <c r="QBW45" s="987"/>
      <c r="QBX45" s="987"/>
      <c r="QBY45" s="987"/>
      <c r="QBZ45" s="987"/>
      <c r="QCA45" s="987"/>
      <c r="QCB45" s="987"/>
      <c r="QCC45" s="987"/>
      <c r="QCD45" s="987"/>
      <c r="QCE45" s="987"/>
      <c r="QCF45" s="987"/>
      <c r="QCG45" s="987"/>
      <c r="QCH45" s="987"/>
      <c r="QCI45" s="987"/>
      <c r="QCJ45" s="987"/>
      <c r="QCK45" s="987"/>
      <c r="QCL45" s="987"/>
      <c r="QCM45" s="987"/>
      <c r="QCN45" s="987"/>
      <c r="QCO45" s="987"/>
      <c r="QCP45" s="987"/>
      <c r="QCQ45" s="987"/>
      <c r="QCR45" s="987"/>
      <c r="QCS45" s="987"/>
      <c r="QCT45" s="987"/>
      <c r="QCU45" s="987"/>
      <c r="QCV45" s="987"/>
      <c r="QCW45" s="987"/>
      <c r="QCX45" s="987"/>
      <c r="QCY45" s="987"/>
      <c r="QCZ45" s="987"/>
      <c r="QDA45" s="987"/>
      <c r="QDB45" s="987"/>
      <c r="QDC45" s="987"/>
      <c r="QDD45" s="987"/>
      <c r="QDE45" s="987"/>
      <c r="QDF45" s="987"/>
      <c r="QDG45" s="987"/>
      <c r="QDH45" s="987"/>
      <c r="QDI45" s="987"/>
      <c r="QDJ45" s="987"/>
      <c r="QDK45" s="987"/>
      <c r="QDL45" s="987"/>
      <c r="QDM45" s="987"/>
      <c r="QDN45" s="987"/>
      <c r="QDO45" s="987"/>
      <c r="QDP45" s="987"/>
      <c r="QDQ45" s="987"/>
      <c r="QDR45" s="987"/>
      <c r="QDS45" s="987"/>
      <c r="QDT45" s="987"/>
      <c r="QDU45" s="987"/>
      <c r="QDV45" s="987"/>
      <c r="QDW45" s="987"/>
      <c r="QDX45" s="987"/>
      <c r="QDY45" s="987"/>
      <c r="QDZ45" s="987"/>
      <c r="QEA45" s="987"/>
      <c r="QEB45" s="987"/>
      <c r="QEC45" s="987"/>
      <c r="QED45" s="987"/>
      <c r="QEE45" s="987"/>
      <c r="QEF45" s="987"/>
      <c r="QEG45" s="987"/>
      <c r="QEH45" s="987"/>
      <c r="QEI45" s="987"/>
      <c r="QEJ45" s="987"/>
      <c r="QEK45" s="987"/>
      <c r="QEL45" s="987"/>
      <c r="QEM45" s="987"/>
      <c r="QEN45" s="987"/>
      <c r="QEO45" s="987"/>
      <c r="QEP45" s="987"/>
      <c r="QEQ45" s="987"/>
      <c r="QER45" s="987"/>
      <c r="QES45" s="987"/>
      <c r="QET45" s="987"/>
      <c r="QEU45" s="987"/>
      <c r="QEV45" s="987"/>
      <c r="QEW45" s="987"/>
      <c r="QEX45" s="987"/>
      <c r="QEY45" s="987"/>
      <c r="QEZ45" s="987"/>
      <c r="QFA45" s="987"/>
      <c r="QFB45" s="987"/>
      <c r="QFC45" s="987"/>
      <c r="QFD45" s="987"/>
      <c r="QFE45" s="987"/>
      <c r="QFF45" s="987"/>
      <c r="QFG45" s="987"/>
      <c r="QFH45" s="987"/>
      <c r="QFI45" s="987"/>
      <c r="QFJ45" s="987"/>
      <c r="QFK45" s="987"/>
      <c r="QFL45" s="987"/>
      <c r="QFM45" s="987"/>
      <c r="QFN45" s="987"/>
      <c r="QFO45" s="987"/>
      <c r="QFP45" s="987"/>
      <c r="QFQ45" s="987"/>
      <c r="QFR45" s="987"/>
      <c r="QFS45" s="987"/>
      <c r="QFT45" s="987"/>
      <c r="QFU45" s="987"/>
      <c r="QFV45" s="987"/>
      <c r="QFW45" s="987"/>
      <c r="QFX45" s="987"/>
      <c r="QFY45" s="987"/>
      <c r="QFZ45" s="987"/>
      <c r="QGA45" s="987"/>
      <c r="QGB45" s="987"/>
      <c r="QGC45" s="987"/>
      <c r="QGD45" s="987"/>
      <c r="QGE45" s="987"/>
      <c r="QGF45" s="987"/>
      <c r="QGG45" s="987"/>
      <c r="QGH45" s="987"/>
      <c r="QGI45" s="987"/>
      <c r="QGJ45" s="987"/>
      <c r="QGK45" s="987"/>
      <c r="QGL45" s="987"/>
      <c r="QGM45" s="987"/>
      <c r="QGN45" s="987"/>
      <c r="QGO45" s="987"/>
      <c r="QGP45" s="987"/>
      <c r="QGQ45" s="987"/>
      <c r="QGR45" s="987"/>
      <c r="QGS45" s="987"/>
      <c r="QGT45" s="987"/>
      <c r="QGU45" s="987"/>
      <c r="QGV45" s="987"/>
      <c r="QGW45" s="987"/>
      <c r="QGX45" s="987"/>
      <c r="QGY45" s="987"/>
      <c r="QGZ45" s="987"/>
      <c r="QHA45" s="987"/>
      <c r="QHB45" s="987"/>
      <c r="QHC45" s="987"/>
      <c r="QHD45" s="987"/>
      <c r="QHE45" s="987"/>
      <c r="QHF45" s="987"/>
      <c r="QHG45" s="987"/>
      <c r="QHH45" s="987"/>
      <c r="QHI45" s="987"/>
      <c r="QHJ45" s="987"/>
      <c r="QHK45" s="987"/>
      <c r="QHL45" s="987"/>
      <c r="QHM45" s="987"/>
      <c r="QHN45" s="987"/>
      <c r="QHO45" s="987"/>
      <c r="QHP45" s="987"/>
      <c r="QHQ45" s="987"/>
      <c r="QHR45" s="987"/>
      <c r="QHS45" s="987"/>
      <c r="QHT45" s="987"/>
      <c r="QHU45" s="987"/>
      <c r="QHV45" s="987"/>
      <c r="QHW45" s="987"/>
      <c r="QHX45" s="987"/>
      <c r="QHY45" s="987"/>
      <c r="QHZ45" s="987"/>
      <c r="QIA45" s="987"/>
      <c r="QIB45" s="987"/>
      <c r="QIC45" s="987"/>
      <c r="QID45" s="987"/>
      <c r="QIE45" s="987"/>
      <c r="QIF45" s="987"/>
      <c r="QIG45" s="987"/>
      <c r="QIH45" s="987"/>
      <c r="QII45" s="987"/>
      <c r="QIJ45" s="987"/>
      <c r="QIK45" s="987"/>
      <c r="QIL45" s="987"/>
      <c r="QIM45" s="987"/>
      <c r="QIN45" s="987"/>
      <c r="QIO45" s="987"/>
      <c r="QIP45" s="987"/>
      <c r="QIQ45" s="987"/>
      <c r="QIR45" s="987"/>
      <c r="QIS45" s="987"/>
      <c r="QIT45" s="987"/>
      <c r="QIU45" s="987"/>
      <c r="QIV45" s="987"/>
      <c r="QIW45" s="987"/>
      <c r="QIX45" s="987"/>
      <c r="QIY45" s="987"/>
      <c r="QIZ45" s="987"/>
      <c r="QJA45" s="987"/>
      <c r="QJB45" s="987"/>
      <c r="QJC45" s="987"/>
      <c r="QJD45" s="987"/>
      <c r="QJE45" s="987"/>
      <c r="QJF45" s="987"/>
      <c r="QJG45" s="987"/>
      <c r="QJH45" s="987"/>
      <c r="QJI45" s="987"/>
      <c r="QJJ45" s="987"/>
      <c r="QJK45" s="987"/>
      <c r="QJL45" s="987"/>
      <c r="QJM45" s="987"/>
      <c r="QJN45" s="987"/>
      <c r="QJO45" s="987"/>
      <c r="QJP45" s="987"/>
      <c r="QJQ45" s="987"/>
      <c r="QJR45" s="987"/>
      <c r="QJS45" s="987"/>
      <c r="QJT45" s="987"/>
      <c r="QJU45" s="987"/>
      <c r="QJV45" s="987"/>
      <c r="QJW45" s="987"/>
      <c r="QJX45" s="987"/>
      <c r="QJY45" s="987"/>
      <c r="QJZ45" s="987"/>
      <c r="QKA45" s="987"/>
      <c r="QKB45" s="987"/>
      <c r="QKC45" s="987"/>
      <c r="QKD45" s="987"/>
      <c r="QKE45" s="987"/>
      <c r="QKF45" s="987"/>
      <c r="QKG45" s="987"/>
      <c r="QKH45" s="987"/>
      <c r="QKI45" s="987"/>
      <c r="QKJ45" s="987"/>
      <c r="QKK45" s="987"/>
      <c r="QKL45" s="987"/>
      <c r="QKM45" s="987"/>
      <c r="QKN45" s="987"/>
      <c r="QKO45" s="987"/>
      <c r="QKP45" s="987"/>
      <c r="QKQ45" s="987"/>
      <c r="QKR45" s="987"/>
      <c r="QKS45" s="987"/>
      <c r="QKT45" s="987"/>
      <c r="QKU45" s="987"/>
      <c r="QKV45" s="987"/>
      <c r="QKW45" s="987"/>
      <c r="QKX45" s="987"/>
      <c r="QKY45" s="987"/>
      <c r="QKZ45" s="987"/>
      <c r="QLA45" s="987"/>
      <c r="QLB45" s="987"/>
      <c r="QLC45" s="987"/>
      <c r="QLD45" s="987"/>
      <c r="QLE45" s="987"/>
      <c r="QLF45" s="987"/>
      <c r="QLG45" s="987"/>
      <c r="QLH45" s="987"/>
      <c r="QLI45" s="987"/>
      <c r="QLJ45" s="987"/>
      <c r="QLK45" s="987"/>
      <c r="QLL45" s="987"/>
      <c r="QLM45" s="987"/>
      <c r="QLN45" s="987"/>
      <c r="QLO45" s="987"/>
      <c r="QLP45" s="987"/>
      <c r="QLQ45" s="987"/>
      <c r="QLR45" s="987"/>
      <c r="QLS45" s="987"/>
      <c r="QLT45" s="987"/>
      <c r="QLU45" s="987"/>
      <c r="QLV45" s="987"/>
      <c r="QLW45" s="987"/>
      <c r="QLX45" s="987"/>
      <c r="QLY45" s="987"/>
      <c r="QLZ45" s="987"/>
      <c r="QMA45" s="987"/>
      <c r="QMB45" s="987"/>
      <c r="QMC45" s="987"/>
      <c r="QMD45" s="987"/>
      <c r="QME45" s="987"/>
      <c r="QMF45" s="987"/>
      <c r="QMG45" s="987"/>
      <c r="QMH45" s="987"/>
      <c r="QMI45" s="987"/>
      <c r="QMJ45" s="987"/>
      <c r="QMK45" s="987"/>
      <c r="QML45" s="987"/>
      <c r="QMM45" s="987"/>
      <c r="QMN45" s="987"/>
      <c r="QMO45" s="987"/>
      <c r="QMP45" s="987"/>
      <c r="QMQ45" s="987"/>
      <c r="QMR45" s="987"/>
      <c r="QMS45" s="987"/>
      <c r="QMT45" s="987"/>
      <c r="QMU45" s="987"/>
      <c r="QMV45" s="987"/>
      <c r="QMW45" s="987"/>
      <c r="QMX45" s="987"/>
      <c r="QMY45" s="987"/>
      <c r="QMZ45" s="987"/>
      <c r="QNA45" s="987"/>
      <c r="QNB45" s="987"/>
      <c r="QNC45" s="987"/>
      <c r="QND45" s="987"/>
      <c r="QNE45" s="987"/>
      <c r="QNF45" s="987"/>
      <c r="QNG45" s="987"/>
      <c r="QNH45" s="987"/>
      <c r="QNI45" s="987"/>
      <c r="QNJ45" s="987"/>
      <c r="QNK45" s="987"/>
      <c r="QNL45" s="987"/>
      <c r="QNM45" s="987"/>
      <c r="QNN45" s="987"/>
      <c r="QNO45" s="987"/>
      <c r="QNP45" s="987"/>
      <c r="QNQ45" s="987"/>
      <c r="QNR45" s="987"/>
      <c r="QNS45" s="987"/>
      <c r="QNT45" s="987"/>
      <c r="QNU45" s="987"/>
      <c r="QNV45" s="987"/>
      <c r="QNW45" s="987"/>
      <c r="QNX45" s="987"/>
      <c r="QNY45" s="987"/>
      <c r="QNZ45" s="987"/>
      <c r="QOA45" s="987"/>
      <c r="QOB45" s="987"/>
      <c r="QOC45" s="987"/>
      <c r="QOD45" s="987"/>
      <c r="QOE45" s="987"/>
      <c r="QOF45" s="987"/>
      <c r="QOG45" s="987"/>
      <c r="QOH45" s="987"/>
      <c r="QOI45" s="987"/>
      <c r="QOJ45" s="987"/>
      <c r="QOK45" s="987"/>
      <c r="QOL45" s="987"/>
      <c r="QOM45" s="987"/>
      <c r="QON45" s="987"/>
      <c r="QOO45" s="987"/>
      <c r="QOP45" s="987"/>
      <c r="QOQ45" s="987"/>
      <c r="QOR45" s="987"/>
      <c r="QOS45" s="987"/>
      <c r="QOT45" s="987"/>
      <c r="QOU45" s="987"/>
      <c r="QOV45" s="987"/>
      <c r="QOW45" s="987"/>
      <c r="QOX45" s="987"/>
      <c r="QOY45" s="987"/>
      <c r="QOZ45" s="987"/>
      <c r="QPA45" s="987"/>
      <c r="QPB45" s="987"/>
      <c r="QPC45" s="987"/>
      <c r="QPD45" s="987"/>
      <c r="QPE45" s="987"/>
      <c r="QPF45" s="987"/>
      <c r="QPG45" s="987"/>
      <c r="QPH45" s="987"/>
      <c r="QPI45" s="987"/>
      <c r="QPJ45" s="987"/>
      <c r="QPK45" s="987"/>
      <c r="QPL45" s="987"/>
      <c r="QPM45" s="987"/>
      <c r="QPN45" s="987"/>
      <c r="QPO45" s="987"/>
      <c r="QPP45" s="987"/>
      <c r="QPQ45" s="987"/>
      <c r="QPR45" s="987"/>
      <c r="QPS45" s="987"/>
      <c r="QPT45" s="987"/>
      <c r="QPU45" s="987"/>
      <c r="QPV45" s="987"/>
      <c r="QPW45" s="987"/>
      <c r="QPX45" s="987"/>
      <c r="QPY45" s="987"/>
      <c r="QPZ45" s="987"/>
      <c r="QQA45" s="987"/>
      <c r="QQB45" s="987"/>
      <c r="QQC45" s="987"/>
      <c r="QQD45" s="987"/>
      <c r="QQE45" s="987"/>
      <c r="QQF45" s="987"/>
      <c r="QQG45" s="987"/>
      <c r="QQH45" s="987"/>
      <c r="QQI45" s="987"/>
      <c r="QQJ45" s="987"/>
      <c r="QQK45" s="987"/>
      <c r="QQL45" s="987"/>
      <c r="QQM45" s="987"/>
      <c r="QQN45" s="987"/>
      <c r="QQO45" s="987"/>
      <c r="QQP45" s="987"/>
      <c r="QQQ45" s="987"/>
      <c r="QQR45" s="987"/>
      <c r="QQS45" s="987"/>
      <c r="QQT45" s="987"/>
      <c r="QQU45" s="987"/>
      <c r="QQV45" s="987"/>
      <c r="QQW45" s="987"/>
      <c r="QQX45" s="987"/>
      <c r="QQY45" s="987"/>
      <c r="QQZ45" s="987"/>
      <c r="QRA45" s="987"/>
      <c r="QRB45" s="987"/>
      <c r="QRC45" s="987"/>
      <c r="QRD45" s="987"/>
      <c r="QRE45" s="987"/>
      <c r="QRF45" s="987"/>
      <c r="QRG45" s="987"/>
      <c r="QRH45" s="987"/>
      <c r="QRI45" s="987"/>
      <c r="QRJ45" s="987"/>
      <c r="QRK45" s="987"/>
      <c r="QRL45" s="987"/>
      <c r="QRM45" s="987"/>
      <c r="QRN45" s="987"/>
      <c r="QRO45" s="987"/>
      <c r="QRP45" s="987"/>
      <c r="QRQ45" s="987"/>
      <c r="QRR45" s="987"/>
      <c r="QRS45" s="987"/>
      <c r="QRT45" s="987"/>
      <c r="QRU45" s="987"/>
      <c r="QRV45" s="987"/>
      <c r="QRW45" s="987"/>
      <c r="QRX45" s="987"/>
      <c r="QRY45" s="987"/>
      <c r="QRZ45" s="987"/>
      <c r="QSA45" s="987"/>
      <c r="QSB45" s="987"/>
      <c r="QSC45" s="987"/>
      <c r="QSD45" s="987"/>
      <c r="QSE45" s="987"/>
      <c r="QSF45" s="987"/>
      <c r="QSG45" s="987"/>
      <c r="QSH45" s="987"/>
      <c r="QSI45" s="987"/>
      <c r="QSJ45" s="987"/>
      <c r="QSK45" s="987"/>
      <c r="QSL45" s="987"/>
      <c r="QSM45" s="987"/>
      <c r="QSN45" s="987"/>
      <c r="QSO45" s="987"/>
      <c r="QSP45" s="987"/>
      <c r="QSQ45" s="987"/>
      <c r="QSR45" s="987"/>
      <c r="QSS45" s="987"/>
      <c r="QST45" s="987"/>
      <c r="QSU45" s="987"/>
      <c r="QSV45" s="987"/>
      <c r="QSW45" s="987"/>
      <c r="QSX45" s="987"/>
      <c r="QSY45" s="987"/>
      <c r="QSZ45" s="987"/>
      <c r="QTA45" s="987"/>
      <c r="QTB45" s="987"/>
      <c r="QTC45" s="987"/>
      <c r="QTD45" s="987"/>
      <c r="QTE45" s="987"/>
      <c r="QTF45" s="987"/>
      <c r="QTG45" s="987"/>
      <c r="QTH45" s="987"/>
      <c r="QTI45" s="987"/>
      <c r="QTJ45" s="987"/>
      <c r="QTK45" s="987"/>
      <c r="QTL45" s="987"/>
      <c r="QTM45" s="987"/>
      <c r="QTN45" s="987"/>
      <c r="QTO45" s="987"/>
      <c r="QTP45" s="987"/>
      <c r="QTQ45" s="987"/>
      <c r="QTR45" s="987"/>
      <c r="QTS45" s="987"/>
      <c r="QTT45" s="987"/>
      <c r="QTU45" s="987"/>
      <c r="QTV45" s="987"/>
      <c r="QTW45" s="987"/>
      <c r="QTX45" s="987"/>
      <c r="QTY45" s="987"/>
      <c r="QTZ45" s="987"/>
      <c r="QUA45" s="987"/>
      <c r="QUB45" s="987"/>
      <c r="QUC45" s="987"/>
      <c r="QUD45" s="987"/>
      <c r="QUE45" s="987"/>
      <c r="QUF45" s="987"/>
      <c r="QUG45" s="987"/>
      <c r="QUH45" s="987"/>
      <c r="QUI45" s="987"/>
      <c r="QUJ45" s="987"/>
      <c r="QUK45" s="987"/>
      <c r="QUL45" s="987"/>
      <c r="QUM45" s="987"/>
      <c r="QUN45" s="987"/>
      <c r="QUO45" s="987"/>
      <c r="QUP45" s="987"/>
      <c r="QUQ45" s="987"/>
      <c r="QUR45" s="987"/>
      <c r="QUS45" s="987"/>
      <c r="QUT45" s="987"/>
      <c r="QUU45" s="987"/>
      <c r="QUV45" s="987"/>
      <c r="QUW45" s="987"/>
      <c r="QUX45" s="987"/>
      <c r="QUY45" s="987"/>
      <c r="QUZ45" s="987"/>
      <c r="QVA45" s="987"/>
      <c r="QVB45" s="987"/>
      <c r="QVC45" s="987"/>
      <c r="QVD45" s="987"/>
      <c r="QVE45" s="987"/>
      <c r="QVF45" s="987"/>
      <c r="QVG45" s="987"/>
      <c r="QVH45" s="987"/>
      <c r="QVI45" s="987"/>
      <c r="QVJ45" s="987"/>
      <c r="QVK45" s="987"/>
      <c r="QVL45" s="987"/>
      <c r="QVM45" s="987"/>
      <c r="QVN45" s="987"/>
      <c r="QVO45" s="987"/>
      <c r="QVP45" s="987"/>
      <c r="QVQ45" s="987"/>
      <c r="QVR45" s="987"/>
      <c r="QVS45" s="987"/>
      <c r="QVT45" s="987"/>
      <c r="QVU45" s="987"/>
      <c r="QVV45" s="987"/>
      <c r="QVW45" s="987"/>
      <c r="QVX45" s="987"/>
      <c r="QVY45" s="987"/>
      <c r="QVZ45" s="987"/>
      <c r="QWA45" s="987"/>
      <c r="QWB45" s="987"/>
      <c r="QWC45" s="987"/>
      <c r="QWD45" s="987"/>
      <c r="QWE45" s="987"/>
      <c r="QWF45" s="987"/>
      <c r="QWG45" s="987"/>
      <c r="QWH45" s="987"/>
      <c r="QWI45" s="987"/>
      <c r="QWJ45" s="987"/>
      <c r="QWK45" s="987"/>
      <c r="QWL45" s="987"/>
      <c r="QWM45" s="987"/>
      <c r="QWN45" s="987"/>
      <c r="QWO45" s="987"/>
      <c r="QWP45" s="987"/>
      <c r="QWQ45" s="987"/>
      <c r="QWR45" s="987"/>
      <c r="QWS45" s="987"/>
      <c r="QWT45" s="987"/>
      <c r="QWU45" s="987"/>
      <c r="QWV45" s="987"/>
      <c r="QWW45" s="987"/>
      <c r="QWX45" s="987"/>
      <c r="QWY45" s="987"/>
      <c r="QWZ45" s="987"/>
      <c r="QXA45" s="987"/>
      <c r="QXB45" s="987"/>
      <c r="QXC45" s="987"/>
      <c r="QXD45" s="987"/>
      <c r="QXE45" s="987"/>
      <c r="QXF45" s="987"/>
      <c r="QXG45" s="987"/>
      <c r="QXH45" s="987"/>
      <c r="QXI45" s="987"/>
      <c r="QXJ45" s="987"/>
      <c r="QXK45" s="987"/>
      <c r="QXL45" s="987"/>
      <c r="QXM45" s="987"/>
      <c r="QXN45" s="987"/>
      <c r="QXO45" s="987"/>
      <c r="QXP45" s="987"/>
      <c r="QXQ45" s="987"/>
      <c r="QXR45" s="987"/>
      <c r="QXS45" s="987"/>
      <c r="QXT45" s="987"/>
      <c r="QXU45" s="987"/>
      <c r="QXV45" s="987"/>
      <c r="QXW45" s="987"/>
      <c r="QXX45" s="987"/>
      <c r="QXY45" s="987"/>
      <c r="QXZ45" s="987"/>
      <c r="QYA45" s="987"/>
      <c r="QYB45" s="987"/>
      <c r="QYC45" s="987"/>
      <c r="QYD45" s="987"/>
      <c r="QYE45" s="987"/>
      <c r="QYF45" s="987"/>
      <c r="QYG45" s="987"/>
      <c r="QYH45" s="987"/>
      <c r="QYI45" s="987"/>
      <c r="QYJ45" s="987"/>
      <c r="QYK45" s="987"/>
      <c r="QYL45" s="987"/>
      <c r="QYM45" s="987"/>
      <c r="QYN45" s="987"/>
      <c r="QYO45" s="987"/>
      <c r="QYP45" s="987"/>
      <c r="QYQ45" s="987"/>
      <c r="QYR45" s="987"/>
      <c r="QYS45" s="987"/>
      <c r="QYT45" s="987"/>
      <c r="QYU45" s="987"/>
      <c r="QYV45" s="987"/>
      <c r="QYW45" s="987"/>
      <c r="QYX45" s="987"/>
      <c r="QYY45" s="987"/>
      <c r="QYZ45" s="987"/>
      <c r="QZA45" s="987"/>
      <c r="QZB45" s="987"/>
      <c r="QZC45" s="987"/>
      <c r="QZD45" s="987"/>
      <c r="QZE45" s="987"/>
      <c r="QZF45" s="987"/>
      <c r="QZG45" s="987"/>
      <c r="QZH45" s="987"/>
      <c r="QZI45" s="987"/>
      <c r="QZJ45" s="987"/>
      <c r="QZK45" s="987"/>
      <c r="QZL45" s="987"/>
      <c r="QZM45" s="987"/>
      <c r="QZN45" s="987"/>
      <c r="QZO45" s="987"/>
      <c r="QZP45" s="987"/>
      <c r="QZQ45" s="987"/>
      <c r="QZR45" s="987"/>
      <c r="QZS45" s="987"/>
      <c r="QZT45" s="987"/>
      <c r="QZU45" s="987"/>
      <c r="QZV45" s="987"/>
      <c r="QZW45" s="987"/>
      <c r="QZX45" s="987"/>
      <c r="QZY45" s="987"/>
      <c r="QZZ45" s="987"/>
      <c r="RAA45" s="987"/>
      <c r="RAB45" s="987"/>
      <c r="RAC45" s="987"/>
      <c r="RAD45" s="987"/>
      <c r="RAE45" s="987"/>
      <c r="RAF45" s="987"/>
      <c r="RAG45" s="987"/>
      <c r="RAH45" s="987"/>
      <c r="RAI45" s="987"/>
      <c r="RAJ45" s="987"/>
      <c r="RAK45" s="987"/>
      <c r="RAL45" s="987"/>
      <c r="RAM45" s="987"/>
      <c r="RAN45" s="987"/>
      <c r="RAO45" s="987"/>
      <c r="RAP45" s="987"/>
      <c r="RAQ45" s="987"/>
      <c r="RAR45" s="987"/>
      <c r="RAS45" s="987"/>
      <c r="RAT45" s="987"/>
      <c r="RAU45" s="987"/>
      <c r="RAV45" s="987"/>
      <c r="RAW45" s="987"/>
      <c r="RAX45" s="987"/>
      <c r="RAY45" s="987"/>
      <c r="RAZ45" s="987"/>
      <c r="RBA45" s="987"/>
      <c r="RBB45" s="987"/>
      <c r="RBC45" s="987"/>
      <c r="RBD45" s="987"/>
      <c r="RBE45" s="987"/>
      <c r="RBF45" s="987"/>
      <c r="RBG45" s="987"/>
      <c r="RBH45" s="987"/>
      <c r="RBI45" s="987"/>
      <c r="RBJ45" s="987"/>
      <c r="RBK45" s="987"/>
      <c r="RBL45" s="987"/>
      <c r="RBM45" s="987"/>
      <c r="RBN45" s="987"/>
      <c r="RBO45" s="987"/>
      <c r="RBP45" s="987"/>
      <c r="RBQ45" s="987"/>
      <c r="RBR45" s="987"/>
      <c r="RBS45" s="987"/>
      <c r="RBT45" s="987"/>
      <c r="RBU45" s="987"/>
      <c r="RBV45" s="987"/>
      <c r="RBW45" s="987"/>
      <c r="RBX45" s="987"/>
      <c r="RBY45" s="987"/>
      <c r="RBZ45" s="987"/>
      <c r="RCA45" s="987"/>
      <c r="RCB45" s="987"/>
      <c r="RCC45" s="987"/>
      <c r="RCD45" s="987"/>
      <c r="RCE45" s="987"/>
      <c r="RCF45" s="987"/>
      <c r="RCG45" s="987"/>
      <c r="RCH45" s="987"/>
      <c r="RCI45" s="987"/>
      <c r="RCJ45" s="987"/>
      <c r="RCK45" s="987"/>
      <c r="RCL45" s="987"/>
      <c r="RCM45" s="987"/>
      <c r="RCN45" s="987"/>
      <c r="RCO45" s="987"/>
      <c r="RCP45" s="987"/>
      <c r="RCQ45" s="987"/>
      <c r="RCR45" s="987"/>
      <c r="RCS45" s="987"/>
      <c r="RCT45" s="987"/>
      <c r="RCU45" s="987"/>
      <c r="RCV45" s="987"/>
      <c r="RCW45" s="987"/>
      <c r="RCX45" s="987"/>
      <c r="RCY45" s="987"/>
      <c r="RCZ45" s="987"/>
      <c r="RDA45" s="987"/>
      <c r="RDB45" s="987"/>
      <c r="RDC45" s="987"/>
      <c r="RDD45" s="987"/>
      <c r="RDE45" s="987"/>
      <c r="RDF45" s="987"/>
      <c r="RDG45" s="987"/>
      <c r="RDH45" s="987"/>
      <c r="RDI45" s="987"/>
      <c r="RDJ45" s="987"/>
      <c r="RDK45" s="987"/>
      <c r="RDL45" s="987"/>
      <c r="RDM45" s="987"/>
      <c r="RDN45" s="987"/>
      <c r="RDO45" s="987"/>
      <c r="RDP45" s="987"/>
      <c r="RDQ45" s="987"/>
      <c r="RDR45" s="987"/>
      <c r="RDS45" s="987"/>
      <c r="RDT45" s="987"/>
      <c r="RDU45" s="987"/>
      <c r="RDV45" s="987"/>
      <c r="RDW45" s="987"/>
      <c r="RDX45" s="987"/>
      <c r="RDY45" s="987"/>
      <c r="RDZ45" s="987"/>
      <c r="REA45" s="987"/>
      <c r="REB45" s="987"/>
      <c r="REC45" s="987"/>
      <c r="RED45" s="987"/>
      <c r="REE45" s="987"/>
      <c r="REF45" s="987"/>
      <c r="REG45" s="987"/>
      <c r="REH45" s="987"/>
      <c r="REI45" s="987"/>
      <c r="REJ45" s="987"/>
      <c r="REK45" s="987"/>
      <c r="REL45" s="987"/>
      <c r="REM45" s="987"/>
      <c r="REN45" s="987"/>
      <c r="REO45" s="987"/>
      <c r="REP45" s="987"/>
      <c r="REQ45" s="987"/>
      <c r="RER45" s="987"/>
      <c r="RES45" s="987"/>
      <c r="RET45" s="987"/>
      <c r="REU45" s="987"/>
      <c r="REV45" s="987"/>
      <c r="REW45" s="987"/>
      <c r="REX45" s="987"/>
      <c r="REY45" s="987"/>
      <c r="REZ45" s="987"/>
      <c r="RFA45" s="987"/>
      <c r="RFB45" s="987"/>
      <c r="RFC45" s="987"/>
      <c r="RFD45" s="987"/>
      <c r="RFE45" s="987"/>
      <c r="RFF45" s="987"/>
      <c r="RFG45" s="987"/>
      <c r="RFH45" s="987"/>
      <c r="RFI45" s="987"/>
      <c r="RFJ45" s="987"/>
      <c r="RFK45" s="987"/>
      <c r="RFL45" s="987"/>
      <c r="RFM45" s="987"/>
      <c r="RFN45" s="987"/>
      <c r="RFO45" s="987"/>
      <c r="RFP45" s="987"/>
      <c r="RFQ45" s="987"/>
      <c r="RFR45" s="987"/>
      <c r="RFS45" s="987"/>
      <c r="RFT45" s="987"/>
      <c r="RFU45" s="987"/>
      <c r="RFV45" s="987"/>
      <c r="RFW45" s="987"/>
      <c r="RFX45" s="987"/>
      <c r="RFY45" s="987"/>
      <c r="RFZ45" s="987"/>
      <c r="RGA45" s="987"/>
      <c r="RGB45" s="987"/>
      <c r="RGC45" s="987"/>
      <c r="RGD45" s="987"/>
      <c r="RGE45" s="987"/>
      <c r="RGF45" s="987"/>
      <c r="RGG45" s="987"/>
      <c r="RGH45" s="987"/>
      <c r="RGI45" s="987"/>
      <c r="RGJ45" s="987"/>
      <c r="RGK45" s="987"/>
      <c r="RGL45" s="987"/>
      <c r="RGM45" s="987"/>
      <c r="RGN45" s="987"/>
      <c r="RGO45" s="987"/>
      <c r="RGP45" s="987"/>
      <c r="RGQ45" s="987"/>
      <c r="RGR45" s="987"/>
      <c r="RGS45" s="987"/>
      <c r="RGT45" s="987"/>
      <c r="RGU45" s="987"/>
      <c r="RGV45" s="987"/>
      <c r="RGW45" s="987"/>
      <c r="RGX45" s="987"/>
      <c r="RGY45" s="987"/>
      <c r="RGZ45" s="987"/>
      <c r="RHA45" s="987"/>
      <c r="RHB45" s="987"/>
      <c r="RHC45" s="987"/>
      <c r="RHD45" s="987"/>
      <c r="RHE45" s="987"/>
      <c r="RHF45" s="987"/>
      <c r="RHG45" s="987"/>
      <c r="RHH45" s="987"/>
      <c r="RHI45" s="987"/>
      <c r="RHJ45" s="987"/>
      <c r="RHK45" s="987"/>
      <c r="RHL45" s="987"/>
      <c r="RHM45" s="987"/>
      <c r="RHN45" s="987"/>
      <c r="RHO45" s="987"/>
      <c r="RHP45" s="987"/>
      <c r="RHQ45" s="987"/>
      <c r="RHR45" s="987"/>
      <c r="RHS45" s="987"/>
      <c r="RHT45" s="987"/>
      <c r="RHU45" s="987"/>
      <c r="RHV45" s="987"/>
      <c r="RHW45" s="987"/>
      <c r="RHX45" s="987"/>
      <c r="RHY45" s="987"/>
      <c r="RHZ45" s="987"/>
      <c r="RIA45" s="987"/>
      <c r="RIB45" s="987"/>
      <c r="RIC45" s="987"/>
      <c r="RID45" s="987"/>
      <c r="RIE45" s="987"/>
      <c r="RIF45" s="987"/>
      <c r="RIG45" s="987"/>
      <c r="RIH45" s="987"/>
      <c r="RII45" s="987"/>
      <c r="RIJ45" s="987"/>
      <c r="RIK45" s="987"/>
      <c r="RIL45" s="987"/>
      <c r="RIM45" s="987"/>
      <c r="RIN45" s="987"/>
      <c r="RIO45" s="987"/>
      <c r="RIP45" s="987"/>
      <c r="RIQ45" s="987"/>
      <c r="RIR45" s="987"/>
      <c r="RIS45" s="987"/>
      <c r="RIT45" s="987"/>
      <c r="RIU45" s="987"/>
      <c r="RIV45" s="987"/>
      <c r="RIW45" s="987"/>
      <c r="RIX45" s="987"/>
      <c r="RIY45" s="987"/>
      <c r="RIZ45" s="987"/>
      <c r="RJA45" s="987"/>
      <c r="RJB45" s="987"/>
      <c r="RJC45" s="987"/>
      <c r="RJD45" s="987"/>
      <c r="RJE45" s="987"/>
      <c r="RJF45" s="987"/>
      <c r="RJG45" s="987"/>
      <c r="RJH45" s="987"/>
      <c r="RJI45" s="987"/>
      <c r="RJJ45" s="987"/>
      <c r="RJK45" s="987"/>
      <c r="RJL45" s="987"/>
      <c r="RJM45" s="987"/>
      <c r="RJN45" s="987"/>
      <c r="RJO45" s="987"/>
      <c r="RJP45" s="987"/>
      <c r="RJQ45" s="987"/>
      <c r="RJR45" s="987"/>
      <c r="RJS45" s="987"/>
      <c r="RJT45" s="987"/>
      <c r="RJU45" s="987"/>
      <c r="RJV45" s="987"/>
      <c r="RJW45" s="987"/>
      <c r="RJX45" s="987"/>
      <c r="RJY45" s="987"/>
      <c r="RJZ45" s="987"/>
      <c r="RKA45" s="987"/>
      <c r="RKB45" s="987"/>
      <c r="RKC45" s="987"/>
      <c r="RKD45" s="987"/>
      <c r="RKE45" s="987"/>
      <c r="RKF45" s="987"/>
      <c r="RKG45" s="987"/>
      <c r="RKH45" s="987"/>
      <c r="RKI45" s="987"/>
      <c r="RKJ45" s="987"/>
      <c r="RKK45" s="987"/>
      <c r="RKL45" s="987"/>
      <c r="RKM45" s="987"/>
      <c r="RKN45" s="987"/>
      <c r="RKO45" s="987"/>
      <c r="RKP45" s="987"/>
      <c r="RKQ45" s="987"/>
      <c r="RKR45" s="987"/>
      <c r="RKS45" s="987"/>
      <c r="RKT45" s="987"/>
      <c r="RKU45" s="987"/>
      <c r="RKV45" s="987"/>
      <c r="RKW45" s="987"/>
      <c r="RKX45" s="987"/>
      <c r="RKY45" s="987"/>
      <c r="RKZ45" s="987"/>
      <c r="RLA45" s="987"/>
      <c r="RLB45" s="987"/>
      <c r="RLC45" s="987"/>
      <c r="RLD45" s="987"/>
      <c r="RLE45" s="987"/>
      <c r="RLF45" s="987"/>
      <c r="RLG45" s="987"/>
      <c r="RLH45" s="987"/>
      <c r="RLI45" s="987"/>
      <c r="RLJ45" s="987"/>
      <c r="RLK45" s="987"/>
      <c r="RLL45" s="987"/>
      <c r="RLM45" s="987"/>
      <c r="RLN45" s="987"/>
      <c r="RLO45" s="987"/>
      <c r="RLP45" s="987"/>
      <c r="RLQ45" s="987"/>
      <c r="RLR45" s="987"/>
      <c r="RLS45" s="987"/>
      <c r="RLT45" s="987"/>
      <c r="RLU45" s="987"/>
      <c r="RLV45" s="987"/>
      <c r="RLW45" s="987"/>
      <c r="RLX45" s="987"/>
      <c r="RLY45" s="987"/>
      <c r="RLZ45" s="987"/>
      <c r="RMA45" s="987"/>
      <c r="RMB45" s="987"/>
      <c r="RMC45" s="987"/>
      <c r="RMD45" s="987"/>
      <c r="RME45" s="987"/>
      <c r="RMF45" s="987"/>
      <c r="RMG45" s="987"/>
      <c r="RMH45" s="987"/>
      <c r="RMI45" s="987"/>
      <c r="RMJ45" s="987"/>
      <c r="RMK45" s="987"/>
      <c r="RML45" s="987"/>
      <c r="RMM45" s="987"/>
      <c r="RMN45" s="987"/>
      <c r="RMO45" s="987"/>
      <c r="RMP45" s="987"/>
      <c r="RMQ45" s="987"/>
      <c r="RMR45" s="987"/>
      <c r="RMS45" s="987"/>
      <c r="RMT45" s="987"/>
      <c r="RMU45" s="987"/>
      <c r="RMV45" s="987"/>
      <c r="RMW45" s="987"/>
      <c r="RMX45" s="987"/>
      <c r="RMY45" s="987"/>
      <c r="RMZ45" s="987"/>
      <c r="RNA45" s="987"/>
      <c r="RNB45" s="987"/>
      <c r="RNC45" s="987"/>
      <c r="RND45" s="987"/>
      <c r="RNE45" s="987"/>
      <c r="RNF45" s="987"/>
      <c r="RNG45" s="987"/>
      <c r="RNH45" s="987"/>
      <c r="RNI45" s="987"/>
      <c r="RNJ45" s="987"/>
      <c r="RNK45" s="987"/>
      <c r="RNL45" s="987"/>
      <c r="RNM45" s="987"/>
      <c r="RNN45" s="987"/>
      <c r="RNO45" s="987"/>
      <c r="RNP45" s="987"/>
      <c r="RNQ45" s="987"/>
      <c r="RNR45" s="987"/>
      <c r="RNS45" s="987"/>
      <c r="RNT45" s="987"/>
      <c r="RNU45" s="987"/>
      <c r="RNV45" s="987"/>
      <c r="RNW45" s="987"/>
      <c r="RNX45" s="987"/>
      <c r="RNY45" s="987"/>
      <c r="RNZ45" s="987"/>
      <c r="ROA45" s="987"/>
      <c r="ROB45" s="987"/>
      <c r="ROC45" s="987"/>
      <c r="ROD45" s="987"/>
      <c r="ROE45" s="987"/>
      <c r="ROF45" s="987"/>
      <c r="ROG45" s="987"/>
      <c r="ROH45" s="987"/>
      <c r="ROI45" s="987"/>
      <c r="ROJ45" s="987"/>
      <c r="ROK45" s="987"/>
      <c r="ROL45" s="987"/>
      <c r="ROM45" s="987"/>
      <c r="RON45" s="987"/>
      <c r="ROO45" s="987"/>
      <c r="ROP45" s="987"/>
      <c r="ROQ45" s="987"/>
      <c r="ROR45" s="987"/>
      <c r="ROS45" s="987"/>
      <c r="ROT45" s="987"/>
      <c r="ROU45" s="987"/>
      <c r="ROV45" s="987"/>
      <c r="ROW45" s="987"/>
      <c r="ROX45" s="987"/>
      <c r="ROY45" s="987"/>
      <c r="ROZ45" s="987"/>
      <c r="RPA45" s="987"/>
      <c r="RPB45" s="987"/>
      <c r="RPC45" s="987"/>
      <c r="RPD45" s="987"/>
      <c r="RPE45" s="987"/>
      <c r="RPF45" s="987"/>
      <c r="RPG45" s="987"/>
      <c r="RPH45" s="987"/>
      <c r="RPI45" s="987"/>
      <c r="RPJ45" s="987"/>
      <c r="RPK45" s="987"/>
      <c r="RPL45" s="987"/>
      <c r="RPM45" s="987"/>
      <c r="RPN45" s="987"/>
      <c r="RPO45" s="987"/>
      <c r="RPP45" s="987"/>
      <c r="RPQ45" s="987"/>
      <c r="RPR45" s="987"/>
      <c r="RPS45" s="987"/>
      <c r="RPT45" s="987"/>
      <c r="RPU45" s="987"/>
      <c r="RPV45" s="987"/>
      <c r="RPW45" s="987"/>
      <c r="RPX45" s="987"/>
      <c r="RPY45" s="987"/>
      <c r="RPZ45" s="987"/>
      <c r="RQA45" s="987"/>
      <c r="RQB45" s="987"/>
      <c r="RQC45" s="987"/>
      <c r="RQD45" s="987"/>
      <c r="RQE45" s="987"/>
      <c r="RQF45" s="987"/>
      <c r="RQG45" s="987"/>
      <c r="RQH45" s="987"/>
      <c r="RQI45" s="987"/>
      <c r="RQJ45" s="987"/>
      <c r="RQK45" s="987"/>
      <c r="RQL45" s="987"/>
      <c r="RQM45" s="987"/>
      <c r="RQN45" s="987"/>
      <c r="RQO45" s="987"/>
      <c r="RQP45" s="987"/>
      <c r="RQQ45" s="987"/>
      <c r="RQR45" s="987"/>
      <c r="RQS45" s="987"/>
      <c r="RQT45" s="987"/>
      <c r="RQU45" s="987"/>
      <c r="RQV45" s="987"/>
      <c r="RQW45" s="987"/>
      <c r="RQX45" s="987"/>
      <c r="RQY45" s="987"/>
      <c r="RQZ45" s="987"/>
      <c r="RRA45" s="987"/>
      <c r="RRB45" s="987"/>
      <c r="RRC45" s="987"/>
      <c r="RRD45" s="987"/>
      <c r="RRE45" s="987"/>
      <c r="RRF45" s="987"/>
      <c r="RRG45" s="987"/>
      <c r="RRH45" s="987"/>
      <c r="RRI45" s="987"/>
      <c r="RRJ45" s="987"/>
      <c r="RRK45" s="987"/>
      <c r="RRL45" s="987"/>
      <c r="RRM45" s="987"/>
      <c r="RRN45" s="987"/>
      <c r="RRO45" s="987"/>
      <c r="RRP45" s="987"/>
      <c r="RRQ45" s="987"/>
      <c r="RRR45" s="987"/>
      <c r="RRS45" s="987"/>
      <c r="RRT45" s="987"/>
      <c r="RRU45" s="987"/>
      <c r="RRV45" s="987"/>
      <c r="RRW45" s="987"/>
      <c r="RRX45" s="987"/>
      <c r="RRY45" s="987"/>
      <c r="RRZ45" s="987"/>
      <c r="RSA45" s="987"/>
      <c r="RSB45" s="987"/>
      <c r="RSC45" s="987"/>
      <c r="RSD45" s="987"/>
      <c r="RSE45" s="987"/>
      <c r="RSF45" s="987"/>
      <c r="RSG45" s="987"/>
      <c r="RSH45" s="987"/>
      <c r="RSI45" s="987"/>
      <c r="RSJ45" s="987"/>
      <c r="RSK45" s="987"/>
      <c r="RSL45" s="987"/>
      <c r="RSM45" s="987"/>
      <c r="RSN45" s="987"/>
      <c r="RSO45" s="987"/>
      <c r="RSP45" s="987"/>
      <c r="RSQ45" s="987"/>
      <c r="RSR45" s="987"/>
      <c r="RSS45" s="987"/>
      <c r="RST45" s="987"/>
      <c r="RSU45" s="987"/>
      <c r="RSV45" s="987"/>
      <c r="RSW45" s="987"/>
      <c r="RSX45" s="987"/>
      <c r="RSY45" s="987"/>
      <c r="RSZ45" s="987"/>
      <c r="RTA45" s="987"/>
      <c r="RTB45" s="987"/>
      <c r="RTC45" s="987"/>
      <c r="RTD45" s="987"/>
      <c r="RTE45" s="987"/>
      <c r="RTF45" s="987"/>
      <c r="RTG45" s="987"/>
      <c r="RTH45" s="987"/>
      <c r="RTI45" s="987"/>
      <c r="RTJ45" s="987"/>
      <c r="RTK45" s="987"/>
      <c r="RTL45" s="987"/>
      <c r="RTM45" s="987"/>
      <c r="RTN45" s="987"/>
      <c r="RTO45" s="987"/>
      <c r="RTP45" s="987"/>
      <c r="RTQ45" s="987"/>
      <c r="RTR45" s="987"/>
      <c r="RTS45" s="987"/>
      <c r="RTT45" s="987"/>
      <c r="RTU45" s="987"/>
      <c r="RTV45" s="987"/>
      <c r="RTW45" s="987"/>
      <c r="RTX45" s="987"/>
      <c r="RTY45" s="987"/>
      <c r="RTZ45" s="987"/>
      <c r="RUA45" s="987"/>
      <c r="RUB45" s="987"/>
      <c r="RUC45" s="987"/>
      <c r="RUD45" s="987"/>
      <c r="RUE45" s="987"/>
      <c r="RUF45" s="987"/>
      <c r="RUG45" s="987"/>
      <c r="RUH45" s="987"/>
      <c r="RUI45" s="987"/>
      <c r="RUJ45" s="987"/>
      <c r="RUK45" s="987"/>
      <c r="RUL45" s="987"/>
      <c r="RUM45" s="987"/>
      <c r="RUN45" s="987"/>
      <c r="RUO45" s="987"/>
      <c r="RUP45" s="987"/>
      <c r="RUQ45" s="987"/>
      <c r="RUR45" s="987"/>
      <c r="RUS45" s="987"/>
      <c r="RUT45" s="987"/>
      <c r="RUU45" s="987"/>
      <c r="RUV45" s="987"/>
      <c r="RUW45" s="987"/>
      <c r="RUX45" s="987"/>
      <c r="RUY45" s="987"/>
      <c r="RUZ45" s="987"/>
      <c r="RVA45" s="987"/>
      <c r="RVB45" s="987"/>
      <c r="RVC45" s="987"/>
      <c r="RVD45" s="987"/>
      <c r="RVE45" s="987"/>
      <c r="RVF45" s="987"/>
      <c r="RVG45" s="987"/>
      <c r="RVH45" s="987"/>
      <c r="RVI45" s="987"/>
      <c r="RVJ45" s="987"/>
      <c r="RVK45" s="987"/>
      <c r="RVL45" s="987"/>
      <c r="RVM45" s="987"/>
      <c r="RVN45" s="987"/>
      <c r="RVO45" s="987"/>
      <c r="RVP45" s="987"/>
      <c r="RVQ45" s="987"/>
      <c r="RVR45" s="987"/>
      <c r="RVS45" s="987"/>
      <c r="RVT45" s="987"/>
      <c r="RVU45" s="987"/>
      <c r="RVV45" s="987"/>
      <c r="RVW45" s="987"/>
      <c r="RVX45" s="987"/>
      <c r="RVY45" s="987"/>
      <c r="RVZ45" s="987"/>
      <c r="RWA45" s="987"/>
      <c r="RWB45" s="987"/>
      <c r="RWC45" s="987"/>
      <c r="RWD45" s="987"/>
      <c r="RWE45" s="987"/>
      <c r="RWF45" s="987"/>
      <c r="RWG45" s="987"/>
      <c r="RWH45" s="987"/>
      <c r="RWI45" s="987"/>
      <c r="RWJ45" s="987"/>
      <c r="RWK45" s="987"/>
      <c r="RWL45" s="987"/>
      <c r="RWM45" s="987"/>
      <c r="RWN45" s="987"/>
      <c r="RWO45" s="987"/>
      <c r="RWP45" s="987"/>
      <c r="RWQ45" s="987"/>
      <c r="RWR45" s="987"/>
      <c r="RWS45" s="987"/>
      <c r="RWT45" s="987"/>
      <c r="RWU45" s="987"/>
      <c r="RWV45" s="987"/>
      <c r="RWW45" s="987"/>
      <c r="RWX45" s="987"/>
      <c r="RWY45" s="987"/>
      <c r="RWZ45" s="987"/>
      <c r="RXA45" s="987"/>
      <c r="RXB45" s="987"/>
      <c r="RXC45" s="987"/>
      <c r="RXD45" s="987"/>
      <c r="RXE45" s="987"/>
      <c r="RXF45" s="987"/>
      <c r="RXG45" s="987"/>
      <c r="RXH45" s="987"/>
      <c r="RXI45" s="987"/>
      <c r="RXJ45" s="987"/>
      <c r="RXK45" s="987"/>
      <c r="RXL45" s="987"/>
      <c r="RXM45" s="987"/>
      <c r="RXN45" s="987"/>
      <c r="RXO45" s="987"/>
      <c r="RXP45" s="987"/>
      <c r="RXQ45" s="987"/>
      <c r="RXR45" s="987"/>
      <c r="RXS45" s="987"/>
      <c r="RXT45" s="987"/>
      <c r="RXU45" s="987"/>
      <c r="RXV45" s="987"/>
      <c r="RXW45" s="987"/>
      <c r="RXX45" s="987"/>
      <c r="RXY45" s="987"/>
      <c r="RXZ45" s="987"/>
      <c r="RYA45" s="987"/>
      <c r="RYB45" s="987"/>
      <c r="RYC45" s="987"/>
      <c r="RYD45" s="987"/>
      <c r="RYE45" s="987"/>
      <c r="RYF45" s="987"/>
      <c r="RYG45" s="987"/>
      <c r="RYH45" s="987"/>
      <c r="RYI45" s="987"/>
      <c r="RYJ45" s="987"/>
      <c r="RYK45" s="987"/>
      <c r="RYL45" s="987"/>
      <c r="RYM45" s="987"/>
      <c r="RYN45" s="987"/>
      <c r="RYO45" s="987"/>
      <c r="RYP45" s="987"/>
      <c r="RYQ45" s="987"/>
      <c r="RYR45" s="987"/>
      <c r="RYS45" s="987"/>
      <c r="RYT45" s="987"/>
      <c r="RYU45" s="987"/>
      <c r="RYV45" s="987"/>
      <c r="RYW45" s="987"/>
      <c r="RYX45" s="987"/>
      <c r="RYY45" s="987"/>
      <c r="RYZ45" s="987"/>
      <c r="RZA45" s="987"/>
      <c r="RZB45" s="987"/>
      <c r="RZC45" s="987"/>
      <c r="RZD45" s="987"/>
      <c r="RZE45" s="987"/>
      <c r="RZF45" s="987"/>
      <c r="RZG45" s="987"/>
      <c r="RZH45" s="987"/>
      <c r="RZI45" s="987"/>
      <c r="RZJ45" s="987"/>
      <c r="RZK45" s="987"/>
      <c r="RZL45" s="987"/>
      <c r="RZM45" s="987"/>
      <c r="RZN45" s="987"/>
      <c r="RZO45" s="987"/>
      <c r="RZP45" s="987"/>
      <c r="RZQ45" s="987"/>
      <c r="RZR45" s="987"/>
      <c r="RZS45" s="987"/>
      <c r="RZT45" s="987"/>
      <c r="RZU45" s="987"/>
      <c r="RZV45" s="987"/>
      <c r="RZW45" s="987"/>
      <c r="RZX45" s="987"/>
      <c r="RZY45" s="987"/>
      <c r="RZZ45" s="987"/>
      <c r="SAA45" s="987"/>
      <c r="SAB45" s="987"/>
      <c r="SAC45" s="987"/>
      <c r="SAD45" s="987"/>
      <c r="SAE45" s="987"/>
      <c r="SAF45" s="987"/>
      <c r="SAG45" s="987"/>
      <c r="SAH45" s="987"/>
      <c r="SAI45" s="987"/>
      <c r="SAJ45" s="987"/>
      <c r="SAK45" s="987"/>
      <c r="SAL45" s="987"/>
      <c r="SAM45" s="987"/>
      <c r="SAN45" s="987"/>
      <c r="SAO45" s="987"/>
      <c r="SAP45" s="987"/>
      <c r="SAQ45" s="987"/>
      <c r="SAR45" s="987"/>
      <c r="SAS45" s="987"/>
      <c r="SAT45" s="987"/>
      <c r="SAU45" s="987"/>
      <c r="SAV45" s="987"/>
      <c r="SAW45" s="987"/>
      <c r="SAX45" s="987"/>
      <c r="SAY45" s="987"/>
      <c r="SAZ45" s="987"/>
      <c r="SBA45" s="987"/>
      <c r="SBB45" s="987"/>
      <c r="SBC45" s="987"/>
      <c r="SBD45" s="987"/>
      <c r="SBE45" s="987"/>
      <c r="SBF45" s="987"/>
      <c r="SBG45" s="987"/>
      <c r="SBH45" s="987"/>
      <c r="SBI45" s="987"/>
      <c r="SBJ45" s="987"/>
      <c r="SBK45" s="987"/>
      <c r="SBL45" s="987"/>
      <c r="SBM45" s="987"/>
      <c r="SBN45" s="987"/>
      <c r="SBO45" s="987"/>
      <c r="SBP45" s="987"/>
      <c r="SBQ45" s="987"/>
      <c r="SBR45" s="987"/>
      <c r="SBS45" s="987"/>
      <c r="SBT45" s="987"/>
      <c r="SBU45" s="987"/>
      <c r="SBV45" s="987"/>
      <c r="SBW45" s="987"/>
      <c r="SBX45" s="987"/>
      <c r="SBY45" s="987"/>
      <c r="SBZ45" s="987"/>
      <c r="SCA45" s="987"/>
      <c r="SCB45" s="987"/>
      <c r="SCC45" s="987"/>
      <c r="SCD45" s="987"/>
      <c r="SCE45" s="987"/>
      <c r="SCF45" s="987"/>
      <c r="SCG45" s="987"/>
      <c r="SCH45" s="987"/>
      <c r="SCI45" s="987"/>
      <c r="SCJ45" s="987"/>
      <c r="SCK45" s="987"/>
      <c r="SCL45" s="987"/>
      <c r="SCM45" s="987"/>
      <c r="SCN45" s="987"/>
      <c r="SCO45" s="987"/>
      <c r="SCP45" s="987"/>
      <c r="SCQ45" s="987"/>
      <c r="SCR45" s="987"/>
      <c r="SCS45" s="987"/>
      <c r="SCT45" s="987"/>
      <c r="SCU45" s="987"/>
      <c r="SCV45" s="987"/>
      <c r="SCW45" s="987"/>
      <c r="SCX45" s="987"/>
      <c r="SCY45" s="987"/>
      <c r="SCZ45" s="987"/>
      <c r="SDA45" s="987"/>
      <c r="SDB45" s="987"/>
      <c r="SDC45" s="987"/>
      <c r="SDD45" s="987"/>
      <c r="SDE45" s="987"/>
      <c r="SDF45" s="987"/>
      <c r="SDG45" s="987"/>
      <c r="SDH45" s="987"/>
      <c r="SDI45" s="987"/>
      <c r="SDJ45" s="987"/>
      <c r="SDK45" s="987"/>
      <c r="SDL45" s="987"/>
      <c r="SDM45" s="987"/>
      <c r="SDN45" s="987"/>
      <c r="SDO45" s="987"/>
      <c r="SDP45" s="987"/>
      <c r="SDQ45" s="987"/>
      <c r="SDR45" s="987"/>
      <c r="SDS45" s="987"/>
      <c r="SDT45" s="987"/>
      <c r="SDU45" s="987"/>
      <c r="SDV45" s="987"/>
      <c r="SDW45" s="987"/>
      <c r="SDX45" s="987"/>
      <c r="SDY45" s="987"/>
      <c r="SDZ45" s="987"/>
      <c r="SEA45" s="987"/>
      <c r="SEB45" s="987"/>
      <c r="SEC45" s="987"/>
      <c r="SED45" s="987"/>
      <c r="SEE45" s="987"/>
      <c r="SEF45" s="987"/>
      <c r="SEG45" s="987"/>
      <c r="SEH45" s="987"/>
      <c r="SEI45" s="987"/>
      <c r="SEJ45" s="987"/>
      <c r="SEK45" s="987"/>
      <c r="SEL45" s="987"/>
      <c r="SEM45" s="987"/>
      <c r="SEN45" s="987"/>
      <c r="SEO45" s="987"/>
      <c r="SEP45" s="987"/>
      <c r="SEQ45" s="987"/>
      <c r="SER45" s="987"/>
      <c r="SES45" s="987"/>
      <c r="SET45" s="987"/>
      <c r="SEU45" s="987"/>
      <c r="SEV45" s="987"/>
      <c r="SEW45" s="987"/>
      <c r="SEX45" s="987"/>
      <c r="SEY45" s="987"/>
      <c r="SEZ45" s="987"/>
      <c r="SFA45" s="987"/>
      <c r="SFB45" s="987"/>
      <c r="SFC45" s="987"/>
      <c r="SFD45" s="987"/>
      <c r="SFE45" s="987"/>
      <c r="SFF45" s="987"/>
      <c r="SFG45" s="987"/>
      <c r="SFH45" s="987"/>
      <c r="SFI45" s="987"/>
      <c r="SFJ45" s="987"/>
      <c r="SFK45" s="987"/>
      <c r="SFL45" s="987"/>
      <c r="SFM45" s="987"/>
      <c r="SFN45" s="987"/>
      <c r="SFO45" s="987"/>
      <c r="SFP45" s="987"/>
      <c r="SFQ45" s="987"/>
      <c r="SFR45" s="987"/>
      <c r="SFS45" s="987"/>
      <c r="SFT45" s="987"/>
      <c r="SFU45" s="987"/>
      <c r="SFV45" s="987"/>
      <c r="SFW45" s="987"/>
      <c r="SFX45" s="987"/>
      <c r="SFY45" s="987"/>
      <c r="SFZ45" s="987"/>
      <c r="SGA45" s="987"/>
      <c r="SGB45" s="987"/>
      <c r="SGC45" s="987"/>
      <c r="SGD45" s="987"/>
      <c r="SGE45" s="987"/>
      <c r="SGF45" s="987"/>
      <c r="SGG45" s="987"/>
      <c r="SGH45" s="987"/>
      <c r="SGI45" s="987"/>
      <c r="SGJ45" s="987"/>
      <c r="SGK45" s="987"/>
      <c r="SGL45" s="987"/>
      <c r="SGM45" s="987"/>
      <c r="SGN45" s="987"/>
      <c r="SGO45" s="987"/>
      <c r="SGP45" s="987"/>
      <c r="SGQ45" s="987"/>
      <c r="SGR45" s="987"/>
      <c r="SGS45" s="987"/>
      <c r="SGT45" s="987"/>
      <c r="SGU45" s="987"/>
      <c r="SGV45" s="987"/>
      <c r="SGW45" s="987"/>
      <c r="SGX45" s="987"/>
      <c r="SGY45" s="987"/>
      <c r="SGZ45" s="987"/>
      <c r="SHA45" s="987"/>
      <c r="SHB45" s="987"/>
      <c r="SHC45" s="987"/>
      <c r="SHD45" s="987"/>
      <c r="SHE45" s="987"/>
      <c r="SHF45" s="987"/>
      <c r="SHG45" s="987"/>
      <c r="SHH45" s="987"/>
      <c r="SHI45" s="987"/>
      <c r="SHJ45" s="987"/>
      <c r="SHK45" s="987"/>
      <c r="SHL45" s="987"/>
      <c r="SHM45" s="987"/>
      <c r="SHN45" s="987"/>
      <c r="SHO45" s="987"/>
      <c r="SHP45" s="987"/>
      <c r="SHQ45" s="987"/>
      <c r="SHR45" s="987"/>
      <c r="SHS45" s="987"/>
      <c r="SHT45" s="987"/>
      <c r="SHU45" s="987"/>
      <c r="SHV45" s="987"/>
      <c r="SHW45" s="987"/>
      <c r="SHX45" s="987"/>
      <c r="SHY45" s="987"/>
      <c r="SHZ45" s="987"/>
      <c r="SIA45" s="987"/>
      <c r="SIB45" s="987"/>
      <c r="SIC45" s="987"/>
      <c r="SID45" s="987"/>
      <c r="SIE45" s="987"/>
      <c r="SIF45" s="987"/>
      <c r="SIG45" s="987"/>
      <c r="SIH45" s="987"/>
      <c r="SII45" s="987"/>
      <c r="SIJ45" s="987"/>
      <c r="SIK45" s="987"/>
      <c r="SIL45" s="987"/>
      <c r="SIM45" s="987"/>
      <c r="SIN45" s="987"/>
      <c r="SIO45" s="987"/>
      <c r="SIP45" s="987"/>
      <c r="SIQ45" s="987"/>
      <c r="SIR45" s="987"/>
      <c r="SIS45" s="987"/>
      <c r="SIT45" s="987"/>
      <c r="SIU45" s="987"/>
      <c r="SIV45" s="987"/>
      <c r="SIW45" s="987"/>
      <c r="SIX45" s="987"/>
      <c r="SIY45" s="987"/>
      <c r="SIZ45" s="987"/>
      <c r="SJA45" s="987"/>
      <c r="SJB45" s="987"/>
      <c r="SJC45" s="987"/>
      <c r="SJD45" s="987"/>
      <c r="SJE45" s="987"/>
      <c r="SJF45" s="987"/>
      <c r="SJG45" s="987"/>
      <c r="SJH45" s="987"/>
      <c r="SJI45" s="987"/>
      <c r="SJJ45" s="987"/>
      <c r="SJK45" s="987"/>
      <c r="SJL45" s="987"/>
      <c r="SJM45" s="987"/>
      <c r="SJN45" s="987"/>
      <c r="SJO45" s="987"/>
      <c r="SJP45" s="987"/>
      <c r="SJQ45" s="987"/>
      <c r="SJR45" s="987"/>
      <c r="SJS45" s="987"/>
      <c r="SJT45" s="987"/>
      <c r="SJU45" s="987"/>
      <c r="SJV45" s="987"/>
      <c r="SJW45" s="987"/>
      <c r="SJX45" s="987"/>
      <c r="SJY45" s="987"/>
      <c r="SJZ45" s="987"/>
      <c r="SKA45" s="987"/>
      <c r="SKB45" s="987"/>
      <c r="SKC45" s="987"/>
      <c r="SKD45" s="987"/>
      <c r="SKE45" s="987"/>
      <c r="SKF45" s="987"/>
      <c r="SKG45" s="987"/>
      <c r="SKH45" s="987"/>
      <c r="SKI45" s="987"/>
      <c r="SKJ45" s="987"/>
      <c r="SKK45" s="987"/>
      <c r="SKL45" s="987"/>
      <c r="SKM45" s="987"/>
      <c r="SKN45" s="987"/>
      <c r="SKO45" s="987"/>
      <c r="SKP45" s="987"/>
      <c r="SKQ45" s="987"/>
      <c r="SKR45" s="987"/>
      <c r="SKS45" s="987"/>
      <c r="SKT45" s="987"/>
      <c r="SKU45" s="987"/>
      <c r="SKV45" s="987"/>
      <c r="SKW45" s="987"/>
      <c r="SKX45" s="987"/>
      <c r="SKY45" s="987"/>
      <c r="SKZ45" s="987"/>
      <c r="SLA45" s="987"/>
      <c r="SLB45" s="987"/>
      <c r="SLC45" s="987"/>
      <c r="SLD45" s="987"/>
      <c r="SLE45" s="987"/>
      <c r="SLF45" s="987"/>
      <c r="SLG45" s="987"/>
      <c r="SLH45" s="987"/>
      <c r="SLI45" s="987"/>
      <c r="SLJ45" s="987"/>
      <c r="SLK45" s="987"/>
      <c r="SLL45" s="987"/>
      <c r="SLM45" s="987"/>
      <c r="SLN45" s="987"/>
      <c r="SLO45" s="987"/>
      <c r="SLP45" s="987"/>
      <c r="SLQ45" s="987"/>
      <c r="SLR45" s="987"/>
      <c r="SLS45" s="987"/>
      <c r="SLT45" s="987"/>
      <c r="SLU45" s="987"/>
      <c r="SLV45" s="987"/>
      <c r="SLW45" s="987"/>
      <c r="SLX45" s="987"/>
      <c r="SLY45" s="987"/>
      <c r="SLZ45" s="987"/>
      <c r="SMA45" s="987"/>
      <c r="SMB45" s="987"/>
      <c r="SMC45" s="987"/>
      <c r="SMD45" s="987"/>
      <c r="SME45" s="987"/>
      <c r="SMF45" s="987"/>
      <c r="SMG45" s="987"/>
      <c r="SMH45" s="987"/>
      <c r="SMI45" s="987"/>
      <c r="SMJ45" s="987"/>
      <c r="SMK45" s="987"/>
      <c r="SML45" s="987"/>
      <c r="SMM45" s="987"/>
      <c r="SMN45" s="987"/>
      <c r="SMO45" s="987"/>
      <c r="SMP45" s="987"/>
      <c r="SMQ45" s="987"/>
      <c r="SMR45" s="987"/>
      <c r="SMS45" s="987"/>
      <c r="SMT45" s="987"/>
      <c r="SMU45" s="987"/>
      <c r="SMV45" s="987"/>
      <c r="SMW45" s="987"/>
      <c r="SMX45" s="987"/>
      <c r="SMY45" s="987"/>
      <c r="SMZ45" s="987"/>
      <c r="SNA45" s="987"/>
      <c r="SNB45" s="987"/>
      <c r="SNC45" s="987"/>
      <c r="SND45" s="987"/>
      <c r="SNE45" s="987"/>
      <c r="SNF45" s="987"/>
      <c r="SNG45" s="987"/>
      <c r="SNH45" s="987"/>
      <c r="SNI45" s="987"/>
      <c r="SNJ45" s="987"/>
      <c r="SNK45" s="987"/>
      <c r="SNL45" s="987"/>
      <c r="SNM45" s="987"/>
      <c r="SNN45" s="987"/>
      <c r="SNO45" s="987"/>
      <c r="SNP45" s="987"/>
      <c r="SNQ45" s="987"/>
      <c r="SNR45" s="987"/>
      <c r="SNS45" s="987"/>
      <c r="SNT45" s="987"/>
      <c r="SNU45" s="987"/>
      <c r="SNV45" s="987"/>
      <c r="SNW45" s="987"/>
      <c r="SNX45" s="987"/>
      <c r="SNY45" s="987"/>
      <c r="SNZ45" s="987"/>
      <c r="SOA45" s="987"/>
      <c r="SOB45" s="987"/>
      <c r="SOC45" s="987"/>
      <c r="SOD45" s="987"/>
      <c r="SOE45" s="987"/>
      <c r="SOF45" s="987"/>
      <c r="SOG45" s="987"/>
      <c r="SOH45" s="987"/>
      <c r="SOI45" s="987"/>
      <c r="SOJ45" s="987"/>
      <c r="SOK45" s="987"/>
      <c r="SOL45" s="987"/>
      <c r="SOM45" s="987"/>
      <c r="SON45" s="987"/>
      <c r="SOO45" s="987"/>
      <c r="SOP45" s="987"/>
      <c r="SOQ45" s="987"/>
      <c r="SOR45" s="987"/>
      <c r="SOS45" s="987"/>
      <c r="SOT45" s="987"/>
      <c r="SOU45" s="987"/>
      <c r="SOV45" s="987"/>
      <c r="SOW45" s="987"/>
      <c r="SOX45" s="987"/>
      <c r="SOY45" s="987"/>
      <c r="SOZ45" s="987"/>
      <c r="SPA45" s="987"/>
      <c r="SPB45" s="987"/>
      <c r="SPC45" s="987"/>
      <c r="SPD45" s="987"/>
      <c r="SPE45" s="987"/>
      <c r="SPF45" s="987"/>
      <c r="SPG45" s="987"/>
      <c r="SPH45" s="987"/>
      <c r="SPI45" s="987"/>
      <c r="SPJ45" s="987"/>
      <c r="SPK45" s="987"/>
      <c r="SPL45" s="987"/>
      <c r="SPM45" s="987"/>
      <c r="SPN45" s="987"/>
      <c r="SPO45" s="987"/>
      <c r="SPP45" s="987"/>
      <c r="SPQ45" s="987"/>
      <c r="SPR45" s="987"/>
      <c r="SPS45" s="987"/>
      <c r="SPT45" s="987"/>
      <c r="SPU45" s="987"/>
      <c r="SPV45" s="987"/>
      <c r="SPW45" s="987"/>
      <c r="SPX45" s="987"/>
      <c r="SPY45" s="987"/>
      <c r="SPZ45" s="987"/>
      <c r="SQA45" s="987"/>
      <c r="SQB45" s="987"/>
      <c r="SQC45" s="987"/>
      <c r="SQD45" s="987"/>
      <c r="SQE45" s="987"/>
      <c r="SQF45" s="987"/>
      <c r="SQG45" s="987"/>
      <c r="SQH45" s="987"/>
      <c r="SQI45" s="987"/>
      <c r="SQJ45" s="987"/>
      <c r="SQK45" s="987"/>
      <c r="SQL45" s="987"/>
      <c r="SQM45" s="987"/>
      <c r="SQN45" s="987"/>
      <c r="SQO45" s="987"/>
      <c r="SQP45" s="987"/>
      <c r="SQQ45" s="987"/>
      <c r="SQR45" s="987"/>
      <c r="SQS45" s="987"/>
      <c r="SQT45" s="987"/>
      <c r="SQU45" s="987"/>
      <c r="SQV45" s="987"/>
      <c r="SQW45" s="987"/>
      <c r="SQX45" s="987"/>
      <c r="SQY45" s="987"/>
      <c r="SQZ45" s="987"/>
      <c r="SRA45" s="987"/>
      <c r="SRB45" s="987"/>
      <c r="SRC45" s="987"/>
      <c r="SRD45" s="987"/>
      <c r="SRE45" s="987"/>
      <c r="SRF45" s="987"/>
      <c r="SRG45" s="987"/>
      <c r="SRH45" s="987"/>
      <c r="SRI45" s="987"/>
      <c r="SRJ45" s="987"/>
      <c r="SRK45" s="987"/>
      <c r="SRL45" s="987"/>
      <c r="SRM45" s="987"/>
      <c r="SRN45" s="987"/>
      <c r="SRO45" s="987"/>
      <c r="SRP45" s="987"/>
      <c r="SRQ45" s="987"/>
      <c r="SRR45" s="987"/>
      <c r="SRS45" s="987"/>
      <c r="SRT45" s="987"/>
      <c r="SRU45" s="987"/>
      <c r="SRV45" s="987"/>
      <c r="SRW45" s="987"/>
      <c r="SRX45" s="987"/>
      <c r="SRY45" s="987"/>
      <c r="SRZ45" s="987"/>
      <c r="SSA45" s="987"/>
      <c r="SSB45" s="987"/>
      <c r="SSC45" s="987"/>
      <c r="SSD45" s="987"/>
      <c r="SSE45" s="987"/>
      <c r="SSF45" s="987"/>
      <c r="SSG45" s="987"/>
      <c r="SSH45" s="987"/>
      <c r="SSI45" s="987"/>
      <c r="SSJ45" s="987"/>
      <c r="SSK45" s="987"/>
      <c r="SSL45" s="987"/>
      <c r="SSM45" s="987"/>
      <c r="SSN45" s="987"/>
      <c r="SSO45" s="987"/>
      <c r="SSP45" s="987"/>
      <c r="SSQ45" s="987"/>
      <c r="SSR45" s="987"/>
      <c r="SSS45" s="987"/>
      <c r="SST45" s="987"/>
      <c r="SSU45" s="987"/>
      <c r="SSV45" s="987"/>
      <c r="SSW45" s="987"/>
      <c r="SSX45" s="987"/>
      <c r="SSY45" s="987"/>
      <c r="SSZ45" s="987"/>
      <c r="STA45" s="987"/>
      <c r="STB45" s="987"/>
      <c r="STC45" s="987"/>
      <c r="STD45" s="987"/>
      <c r="STE45" s="987"/>
      <c r="STF45" s="987"/>
      <c r="STG45" s="987"/>
      <c r="STH45" s="987"/>
      <c r="STI45" s="987"/>
      <c r="STJ45" s="987"/>
      <c r="STK45" s="987"/>
      <c r="STL45" s="987"/>
      <c r="STM45" s="987"/>
      <c r="STN45" s="987"/>
      <c r="STO45" s="987"/>
      <c r="STP45" s="987"/>
      <c r="STQ45" s="987"/>
      <c r="STR45" s="987"/>
      <c r="STS45" s="987"/>
      <c r="STT45" s="987"/>
      <c r="STU45" s="987"/>
      <c r="STV45" s="987"/>
      <c r="STW45" s="987"/>
      <c r="STX45" s="987"/>
      <c r="STY45" s="987"/>
      <c r="STZ45" s="987"/>
      <c r="SUA45" s="987"/>
      <c r="SUB45" s="987"/>
      <c r="SUC45" s="987"/>
      <c r="SUD45" s="987"/>
      <c r="SUE45" s="987"/>
      <c r="SUF45" s="987"/>
      <c r="SUG45" s="987"/>
      <c r="SUH45" s="987"/>
      <c r="SUI45" s="987"/>
      <c r="SUJ45" s="987"/>
      <c r="SUK45" s="987"/>
      <c r="SUL45" s="987"/>
      <c r="SUM45" s="987"/>
      <c r="SUN45" s="987"/>
      <c r="SUO45" s="987"/>
      <c r="SUP45" s="987"/>
      <c r="SUQ45" s="987"/>
      <c r="SUR45" s="987"/>
      <c r="SUS45" s="987"/>
      <c r="SUT45" s="987"/>
      <c r="SUU45" s="987"/>
      <c r="SUV45" s="987"/>
      <c r="SUW45" s="987"/>
      <c r="SUX45" s="987"/>
      <c r="SUY45" s="987"/>
      <c r="SUZ45" s="987"/>
      <c r="SVA45" s="987"/>
      <c r="SVB45" s="987"/>
      <c r="SVC45" s="987"/>
      <c r="SVD45" s="987"/>
      <c r="SVE45" s="987"/>
      <c r="SVF45" s="987"/>
      <c r="SVG45" s="987"/>
      <c r="SVH45" s="987"/>
      <c r="SVI45" s="987"/>
      <c r="SVJ45" s="987"/>
      <c r="SVK45" s="987"/>
      <c r="SVL45" s="987"/>
      <c r="SVM45" s="987"/>
      <c r="SVN45" s="987"/>
      <c r="SVO45" s="987"/>
      <c r="SVP45" s="987"/>
      <c r="SVQ45" s="987"/>
      <c r="SVR45" s="987"/>
      <c r="SVS45" s="987"/>
      <c r="SVT45" s="987"/>
      <c r="SVU45" s="987"/>
      <c r="SVV45" s="987"/>
      <c r="SVW45" s="987"/>
      <c r="SVX45" s="987"/>
      <c r="SVY45" s="987"/>
      <c r="SVZ45" s="987"/>
      <c r="SWA45" s="987"/>
      <c r="SWB45" s="987"/>
      <c r="SWC45" s="987"/>
      <c r="SWD45" s="987"/>
      <c r="SWE45" s="987"/>
      <c r="SWF45" s="987"/>
      <c r="SWG45" s="987"/>
      <c r="SWH45" s="987"/>
      <c r="SWI45" s="987"/>
      <c r="SWJ45" s="987"/>
      <c r="SWK45" s="987"/>
      <c r="SWL45" s="987"/>
      <c r="SWM45" s="987"/>
      <c r="SWN45" s="987"/>
      <c r="SWO45" s="987"/>
      <c r="SWP45" s="987"/>
      <c r="SWQ45" s="987"/>
      <c r="SWR45" s="987"/>
      <c r="SWS45" s="987"/>
      <c r="SWT45" s="987"/>
      <c r="SWU45" s="987"/>
      <c r="SWV45" s="987"/>
      <c r="SWW45" s="987"/>
      <c r="SWX45" s="987"/>
      <c r="SWY45" s="987"/>
      <c r="SWZ45" s="987"/>
      <c r="SXA45" s="987"/>
      <c r="SXB45" s="987"/>
      <c r="SXC45" s="987"/>
      <c r="SXD45" s="987"/>
      <c r="SXE45" s="987"/>
      <c r="SXF45" s="987"/>
      <c r="SXG45" s="987"/>
      <c r="SXH45" s="987"/>
      <c r="SXI45" s="987"/>
      <c r="SXJ45" s="987"/>
      <c r="SXK45" s="987"/>
      <c r="SXL45" s="987"/>
      <c r="SXM45" s="987"/>
      <c r="SXN45" s="987"/>
      <c r="SXO45" s="987"/>
      <c r="SXP45" s="987"/>
      <c r="SXQ45" s="987"/>
      <c r="SXR45" s="987"/>
      <c r="SXS45" s="987"/>
      <c r="SXT45" s="987"/>
      <c r="SXU45" s="987"/>
      <c r="SXV45" s="987"/>
      <c r="SXW45" s="987"/>
      <c r="SXX45" s="987"/>
      <c r="SXY45" s="987"/>
      <c r="SXZ45" s="987"/>
      <c r="SYA45" s="987"/>
      <c r="SYB45" s="987"/>
      <c r="SYC45" s="987"/>
      <c r="SYD45" s="987"/>
      <c r="SYE45" s="987"/>
      <c r="SYF45" s="987"/>
      <c r="SYG45" s="987"/>
      <c r="SYH45" s="987"/>
      <c r="SYI45" s="987"/>
      <c r="SYJ45" s="987"/>
      <c r="SYK45" s="987"/>
      <c r="SYL45" s="987"/>
      <c r="SYM45" s="987"/>
      <c r="SYN45" s="987"/>
      <c r="SYO45" s="987"/>
      <c r="SYP45" s="987"/>
      <c r="SYQ45" s="987"/>
      <c r="SYR45" s="987"/>
      <c r="SYS45" s="987"/>
      <c r="SYT45" s="987"/>
      <c r="SYU45" s="987"/>
      <c r="SYV45" s="987"/>
      <c r="SYW45" s="987"/>
      <c r="SYX45" s="987"/>
      <c r="SYY45" s="987"/>
      <c r="SYZ45" s="987"/>
      <c r="SZA45" s="987"/>
      <c r="SZB45" s="987"/>
      <c r="SZC45" s="987"/>
      <c r="SZD45" s="987"/>
      <c r="SZE45" s="987"/>
      <c r="SZF45" s="987"/>
      <c r="SZG45" s="987"/>
      <c r="SZH45" s="987"/>
      <c r="SZI45" s="987"/>
      <c r="SZJ45" s="987"/>
      <c r="SZK45" s="987"/>
      <c r="SZL45" s="987"/>
      <c r="SZM45" s="987"/>
      <c r="SZN45" s="987"/>
      <c r="SZO45" s="987"/>
      <c r="SZP45" s="987"/>
      <c r="SZQ45" s="987"/>
      <c r="SZR45" s="987"/>
      <c r="SZS45" s="987"/>
      <c r="SZT45" s="987"/>
      <c r="SZU45" s="987"/>
      <c r="SZV45" s="987"/>
      <c r="SZW45" s="987"/>
      <c r="SZX45" s="987"/>
      <c r="SZY45" s="987"/>
      <c r="SZZ45" s="987"/>
      <c r="TAA45" s="987"/>
      <c r="TAB45" s="987"/>
      <c r="TAC45" s="987"/>
      <c r="TAD45" s="987"/>
      <c r="TAE45" s="987"/>
      <c r="TAF45" s="987"/>
      <c r="TAG45" s="987"/>
      <c r="TAH45" s="987"/>
      <c r="TAI45" s="987"/>
      <c r="TAJ45" s="987"/>
      <c r="TAK45" s="987"/>
      <c r="TAL45" s="987"/>
      <c r="TAM45" s="987"/>
      <c r="TAN45" s="987"/>
      <c r="TAO45" s="987"/>
      <c r="TAP45" s="987"/>
      <c r="TAQ45" s="987"/>
      <c r="TAR45" s="987"/>
      <c r="TAS45" s="987"/>
      <c r="TAT45" s="987"/>
      <c r="TAU45" s="987"/>
      <c r="TAV45" s="987"/>
      <c r="TAW45" s="987"/>
      <c r="TAX45" s="987"/>
      <c r="TAY45" s="987"/>
      <c r="TAZ45" s="987"/>
      <c r="TBA45" s="987"/>
      <c r="TBB45" s="987"/>
      <c r="TBC45" s="987"/>
      <c r="TBD45" s="987"/>
      <c r="TBE45" s="987"/>
      <c r="TBF45" s="987"/>
      <c r="TBG45" s="987"/>
      <c r="TBH45" s="987"/>
      <c r="TBI45" s="987"/>
      <c r="TBJ45" s="987"/>
      <c r="TBK45" s="987"/>
      <c r="TBL45" s="987"/>
      <c r="TBM45" s="987"/>
      <c r="TBN45" s="987"/>
      <c r="TBO45" s="987"/>
      <c r="TBP45" s="987"/>
      <c r="TBQ45" s="987"/>
      <c r="TBR45" s="987"/>
      <c r="TBS45" s="987"/>
      <c r="TBT45" s="987"/>
      <c r="TBU45" s="987"/>
      <c r="TBV45" s="987"/>
      <c r="TBW45" s="987"/>
      <c r="TBX45" s="987"/>
      <c r="TBY45" s="987"/>
      <c r="TBZ45" s="987"/>
      <c r="TCA45" s="987"/>
      <c r="TCB45" s="987"/>
      <c r="TCC45" s="987"/>
      <c r="TCD45" s="987"/>
      <c r="TCE45" s="987"/>
      <c r="TCF45" s="987"/>
      <c r="TCG45" s="987"/>
      <c r="TCH45" s="987"/>
      <c r="TCI45" s="987"/>
      <c r="TCJ45" s="987"/>
      <c r="TCK45" s="987"/>
      <c r="TCL45" s="987"/>
      <c r="TCM45" s="987"/>
      <c r="TCN45" s="987"/>
      <c r="TCO45" s="987"/>
      <c r="TCP45" s="987"/>
      <c r="TCQ45" s="987"/>
      <c r="TCR45" s="987"/>
      <c r="TCS45" s="987"/>
      <c r="TCT45" s="987"/>
      <c r="TCU45" s="987"/>
      <c r="TCV45" s="987"/>
      <c r="TCW45" s="987"/>
      <c r="TCX45" s="987"/>
      <c r="TCY45" s="987"/>
      <c r="TCZ45" s="987"/>
      <c r="TDA45" s="987"/>
      <c r="TDB45" s="987"/>
      <c r="TDC45" s="987"/>
      <c r="TDD45" s="987"/>
      <c r="TDE45" s="987"/>
      <c r="TDF45" s="987"/>
      <c r="TDG45" s="987"/>
      <c r="TDH45" s="987"/>
      <c r="TDI45" s="987"/>
      <c r="TDJ45" s="987"/>
      <c r="TDK45" s="987"/>
      <c r="TDL45" s="987"/>
      <c r="TDM45" s="987"/>
      <c r="TDN45" s="987"/>
      <c r="TDO45" s="987"/>
      <c r="TDP45" s="987"/>
      <c r="TDQ45" s="987"/>
      <c r="TDR45" s="987"/>
      <c r="TDS45" s="987"/>
      <c r="TDT45" s="987"/>
      <c r="TDU45" s="987"/>
      <c r="TDV45" s="987"/>
      <c r="TDW45" s="987"/>
      <c r="TDX45" s="987"/>
      <c r="TDY45" s="987"/>
      <c r="TDZ45" s="987"/>
      <c r="TEA45" s="987"/>
      <c r="TEB45" s="987"/>
      <c r="TEC45" s="987"/>
      <c r="TED45" s="987"/>
      <c r="TEE45" s="987"/>
      <c r="TEF45" s="987"/>
      <c r="TEG45" s="987"/>
      <c r="TEH45" s="987"/>
      <c r="TEI45" s="987"/>
      <c r="TEJ45" s="987"/>
      <c r="TEK45" s="987"/>
      <c r="TEL45" s="987"/>
      <c r="TEM45" s="987"/>
      <c r="TEN45" s="987"/>
      <c r="TEO45" s="987"/>
      <c r="TEP45" s="987"/>
      <c r="TEQ45" s="987"/>
      <c r="TER45" s="987"/>
      <c r="TES45" s="987"/>
      <c r="TET45" s="987"/>
      <c r="TEU45" s="987"/>
      <c r="TEV45" s="987"/>
      <c r="TEW45" s="987"/>
      <c r="TEX45" s="987"/>
      <c r="TEY45" s="987"/>
      <c r="TEZ45" s="987"/>
      <c r="TFA45" s="987"/>
      <c r="TFB45" s="987"/>
      <c r="TFC45" s="987"/>
      <c r="TFD45" s="987"/>
      <c r="TFE45" s="987"/>
      <c r="TFF45" s="987"/>
      <c r="TFG45" s="987"/>
      <c r="TFH45" s="987"/>
      <c r="TFI45" s="987"/>
      <c r="TFJ45" s="987"/>
      <c r="TFK45" s="987"/>
      <c r="TFL45" s="987"/>
      <c r="TFM45" s="987"/>
      <c r="TFN45" s="987"/>
      <c r="TFO45" s="987"/>
      <c r="TFP45" s="987"/>
      <c r="TFQ45" s="987"/>
      <c r="TFR45" s="987"/>
      <c r="TFS45" s="987"/>
      <c r="TFT45" s="987"/>
      <c r="TFU45" s="987"/>
      <c r="TFV45" s="987"/>
      <c r="TFW45" s="987"/>
      <c r="TFX45" s="987"/>
      <c r="TFY45" s="987"/>
      <c r="TFZ45" s="987"/>
      <c r="TGA45" s="987"/>
      <c r="TGB45" s="987"/>
      <c r="TGC45" s="987"/>
      <c r="TGD45" s="987"/>
      <c r="TGE45" s="987"/>
      <c r="TGF45" s="987"/>
      <c r="TGG45" s="987"/>
      <c r="TGH45" s="987"/>
      <c r="TGI45" s="987"/>
      <c r="TGJ45" s="987"/>
      <c r="TGK45" s="987"/>
      <c r="TGL45" s="987"/>
      <c r="TGM45" s="987"/>
      <c r="TGN45" s="987"/>
      <c r="TGO45" s="987"/>
      <c r="TGP45" s="987"/>
      <c r="TGQ45" s="987"/>
      <c r="TGR45" s="987"/>
      <c r="TGS45" s="987"/>
      <c r="TGT45" s="987"/>
      <c r="TGU45" s="987"/>
      <c r="TGV45" s="987"/>
      <c r="TGW45" s="987"/>
      <c r="TGX45" s="987"/>
      <c r="TGY45" s="987"/>
      <c r="TGZ45" s="987"/>
      <c r="THA45" s="987"/>
      <c r="THB45" s="987"/>
      <c r="THC45" s="987"/>
      <c r="THD45" s="987"/>
      <c r="THE45" s="987"/>
      <c r="THF45" s="987"/>
      <c r="THG45" s="987"/>
      <c r="THH45" s="987"/>
      <c r="THI45" s="987"/>
      <c r="THJ45" s="987"/>
      <c r="THK45" s="987"/>
      <c r="THL45" s="987"/>
      <c r="THM45" s="987"/>
      <c r="THN45" s="987"/>
      <c r="THO45" s="987"/>
      <c r="THP45" s="987"/>
      <c r="THQ45" s="987"/>
      <c r="THR45" s="987"/>
      <c r="THS45" s="987"/>
      <c r="THT45" s="987"/>
      <c r="THU45" s="987"/>
      <c r="THV45" s="987"/>
      <c r="THW45" s="987"/>
      <c r="THX45" s="987"/>
      <c r="THY45" s="987"/>
      <c r="THZ45" s="987"/>
      <c r="TIA45" s="987"/>
      <c r="TIB45" s="987"/>
      <c r="TIC45" s="987"/>
      <c r="TID45" s="987"/>
      <c r="TIE45" s="987"/>
      <c r="TIF45" s="987"/>
      <c r="TIG45" s="987"/>
      <c r="TIH45" s="987"/>
      <c r="TII45" s="987"/>
      <c r="TIJ45" s="987"/>
      <c r="TIK45" s="987"/>
      <c r="TIL45" s="987"/>
      <c r="TIM45" s="987"/>
      <c r="TIN45" s="987"/>
      <c r="TIO45" s="987"/>
      <c r="TIP45" s="987"/>
      <c r="TIQ45" s="987"/>
      <c r="TIR45" s="987"/>
      <c r="TIS45" s="987"/>
      <c r="TIT45" s="987"/>
      <c r="TIU45" s="987"/>
      <c r="TIV45" s="987"/>
      <c r="TIW45" s="987"/>
      <c r="TIX45" s="987"/>
      <c r="TIY45" s="987"/>
      <c r="TIZ45" s="987"/>
      <c r="TJA45" s="987"/>
      <c r="TJB45" s="987"/>
      <c r="TJC45" s="987"/>
      <c r="TJD45" s="987"/>
      <c r="TJE45" s="987"/>
      <c r="TJF45" s="987"/>
      <c r="TJG45" s="987"/>
      <c r="TJH45" s="987"/>
      <c r="TJI45" s="987"/>
      <c r="TJJ45" s="987"/>
      <c r="TJK45" s="987"/>
      <c r="TJL45" s="987"/>
      <c r="TJM45" s="987"/>
      <c r="TJN45" s="987"/>
      <c r="TJO45" s="987"/>
      <c r="TJP45" s="987"/>
      <c r="TJQ45" s="987"/>
      <c r="TJR45" s="987"/>
      <c r="TJS45" s="987"/>
      <c r="TJT45" s="987"/>
      <c r="TJU45" s="987"/>
      <c r="TJV45" s="987"/>
      <c r="TJW45" s="987"/>
      <c r="TJX45" s="987"/>
      <c r="TJY45" s="987"/>
      <c r="TJZ45" s="987"/>
      <c r="TKA45" s="987"/>
      <c r="TKB45" s="987"/>
      <c r="TKC45" s="987"/>
      <c r="TKD45" s="987"/>
      <c r="TKE45" s="987"/>
      <c r="TKF45" s="987"/>
      <c r="TKG45" s="987"/>
      <c r="TKH45" s="987"/>
      <c r="TKI45" s="987"/>
      <c r="TKJ45" s="987"/>
      <c r="TKK45" s="987"/>
      <c r="TKL45" s="987"/>
      <c r="TKM45" s="987"/>
      <c r="TKN45" s="987"/>
      <c r="TKO45" s="987"/>
      <c r="TKP45" s="987"/>
      <c r="TKQ45" s="987"/>
      <c r="TKR45" s="987"/>
      <c r="TKS45" s="987"/>
      <c r="TKT45" s="987"/>
      <c r="TKU45" s="987"/>
      <c r="TKV45" s="987"/>
      <c r="TKW45" s="987"/>
      <c r="TKX45" s="987"/>
      <c r="TKY45" s="987"/>
      <c r="TKZ45" s="987"/>
      <c r="TLA45" s="987"/>
      <c r="TLB45" s="987"/>
      <c r="TLC45" s="987"/>
      <c r="TLD45" s="987"/>
      <c r="TLE45" s="987"/>
      <c r="TLF45" s="987"/>
      <c r="TLG45" s="987"/>
      <c r="TLH45" s="987"/>
      <c r="TLI45" s="987"/>
      <c r="TLJ45" s="987"/>
      <c r="TLK45" s="987"/>
      <c r="TLL45" s="987"/>
      <c r="TLM45" s="987"/>
      <c r="TLN45" s="987"/>
      <c r="TLO45" s="987"/>
      <c r="TLP45" s="987"/>
      <c r="TLQ45" s="987"/>
      <c r="TLR45" s="987"/>
      <c r="TLS45" s="987"/>
      <c r="TLT45" s="987"/>
      <c r="TLU45" s="987"/>
      <c r="TLV45" s="987"/>
      <c r="TLW45" s="987"/>
      <c r="TLX45" s="987"/>
      <c r="TLY45" s="987"/>
      <c r="TLZ45" s="987"/>
      <c r="TMA45" s="987"/>
      <c r="TMB45" s="987"/>
      <c r="TMC45" s="987"/>
      <c r="TMD45" s="987"/>
      <c r="TME45" s="987"/>
      <c r="TMF45" s="987"/>
      <c r="TMG45" s="987"/>
      <c r="TMH45" s="987"/>
      <c r="TMI45" s="987"/>
      <c r="TMJ45" s="987"/>
      <c r="TMK45" s="987"/>
      <c r="TML45" s="987"/>
      <c r="TMM45" s="987"/>
      <c r="TMN45" s="987"/>
      <c r="TMO45" s="987"/>
      <c r="TMP45" s="987"/>
      <c r="TMQ45" s="987"/>
      <c r="TMR45" s="987"/>
      <c r="TMS45" s="987"/>
      <c r="TMT45" s="987"/>
      <c r="TMU45" s="987"/>
      <c r="TMV45" s="987"/>
      <c r="TMW45" s="987"/>
      <c r="TMX45" s="987"/>
      <c r="TMY45" s="987"/>
      <c r="TMZ45" s="987"/>
      <c r="TNA45" s="987"/>
      <c r="TNB45" s="987"/>
      <c r="TNC45" s="987"/>
      <c r="TND45" s="987"/>
      <c r="TNE45" s="987"/>
      <c r="TNF45" s="987"/>
      <c r="TNG45" s="987"/>
      <c r="TNH45" s="987"/>
      <c r="TNI45" s="987"/>
      <c r="TNJ45" s="987"/>
      <c r="TNK45" s="987"/>
      <c r="TNL45" s="987"/>
      <c r="TNM45" s="987"/>
      <c r="TNN45" s="987"/>
      <c r="TNO45" s="987"/>
      <c r="TNP45" s="987"/>
      <c r="TNQ45" s="987"/>
      <c r="TNR45" s="987"/>
      <c r="TNS45" s="987"/>
      <c r="TNT45" s="987"/>
      <c r="TNU45" s="987"/>
      <c r="TNV45" s="987"/>
      <c r="TNW45" s="987"/>
      <c r="TNX45" s="987"/>
      <c r="TNY45" s="987"/>
      <c r="TNZ45" s="987"/>
      <c r="TOA45" s="987"/>
      <c r="TOB45" s="987"/>
      <c r="TOC45" s="987"/>
      <c r="TOD45" s="987"/>
      <c r="TOE45" s="987"/>
      <c r="TOF45" s="987"/>
      <c r="TOG45" s="987"/>
      <c r="TOH45" s="987"/>
      <c r="TOI45" s="987"/>
      <c r="TOJ45" s="987"/>
      <c r="TOK45" s="987"/>
      <c r="TOL45" s="987"/>
      <c r="TOM45" s="987"/>
      <c r="TON45" s="987"/>
      <c r="TOO45" s="987"/>
      <c r="TOP45" s="987"/>
      <c r="TOQ45" s="987"/>
      <c r="TOR45" s="987"/>
      <c r="TOS45" s="987"/>
      <c r="TOT45" s="987"/>
      <c r="TOU45" s="987"/>
      <c r="TOV45" s="987"/>
      <c r="TOW45" s="987"/>
      <c r="TOX45" s="987"/>
      <c r="TOY45" s="987"/>
      <c r="TOZ45" s="987"/>
      <c r="TPA45" s="987"/>
      <c r="TPB45" s="987"/>
      <c r="TPC45" s="987"/>
      <c r="TPD45" s="987"/>
      <c r="TPE45" s="987"/>
      <c r="TPF45" s="987"/>
      <c r="TPG45" s="987"/>
      <c r="TPH45" s="987"/>
      <c r="TPI45" s="987"/>
      <c r="TPJ45" s="987"/>
      <c r="TPK45" s="987"/>
      <c r="TPL45" s="987"/>
      <c r="TPM45" s="987"/>
      <c r="TPN45" s="987"/>
      <c r="TPO45" s="987"/>
      <c r="TPP45" s="987"/>
      <c r="TPQ45" s="987"/>
      <c r="TPR45" s="987"/>
      <c r="TPS45" s="987"/>
      <c r="TPT45" s="987"/>
      <c r="TPU45" s="987"/>
      <c r="TPV45" s="987"/>
      <c r="TPW45" s="987"/>
      <c r="TPX45" s="987"/>
      <c r="TPY45" s="987"/>
      <c r="TPZ45" s="987"/>
      <c r="TQA45" s="987"/>
      <c r="TQB45" s="987"/>
      <c r="TQC45" s="987"/>
      <c r="TQD45" s="987"/>
      <c r="TQE45" s="987"/>
      <c r="TQF45" s="987"/>
      <c r="TQG45" s="987"/>
      <c r="TQH45" s="987"/>
      <c r="TQI45" s="987"/>
      <c r="TQJ45" s="987"/>
      <c r="TQK45" s="987"/>
      <c r="TQL45" s="987"/>
      <c r="TQM45" s="987"/>
      <c r="TQN45" s="987"/>
      <c r="TQO45" s="987"/>
      <c r="TQP45" s="987"/>
      <c r="TQQ45" s="987"/>
      <c r="TQR45" s="987"/>
      <c r="TQS45" s="987"/>
      <c r="TQT45" s="987"/>
      <c r="TQU45" s="987"/>
      <c r="TQV45" s="987"/>
      <c r="TQW45" s="987"/>
      <c r="TQX45" s="987"/>
      <c r="TQY45" s="987"/>
      <c r="TQZ45" s="987"/>
      <c r="TRA45" s="987"/>
      <c r="TRB45" s="987"/>
      <c r="TRC45" s="987"/>
      <c r="TRD45" s="987"/>
      <c r="TRE45" s="987"/>
      <c r="TRF45" s="987"/>
      <c r="TRG45" s="987"/>
      <c r="TRH45" s="987"/>
      <c r="TRI45" s="987"/>
      <c r="TRJ45" s="987"/>
      <c r="TRK45" s="987"/>
      <c r="TRL45" s="987"/>
      <c r="TRM45" s="987"/>
      <c r="TRN45" s="987"/>
      <c r="TRO45" s="987"/>
      <c r="TRP45" s="987"/>
      <c r="TRQ45" s="987"/>
      <c r="TRR45" s="987"/>
      <c r="TRS45" s="987"/>
      <c r="TRT45" s="987"/>
      <c r="TRU45" s="987"/>
      <c r="TRV45" s="987"/>
      <c r="TRW45" s="987"/>
      <c r="TRX45" s="987"/>
      <c r="TRY45" s="987"/>
      <c r="TRZ45" s="987"/>
      <c r="TSA45" s="987"/>
      <c r="TSB45" s="987"/>
      <c r="TSC45" s="987"/>
      <c r="TSD45" s="987"/>
      <c r="TSE45" s="987"/>
      <c r="TSF45" s="987"/>
      <c r="TSG45" s="987"/>
      <c r="TSH45" s="987"/>
      <c r="TSI45" s="987"/>
      <c r="TSJ45" s="987"/>
      <c r="TSK45" s="987"/>
      <c r="TSL45" s="987"/>
      <c r="TSM45" s="987"/>
      <c r="TSN45" s="987"/>
      <c r="TSO45" s="987"/>
      <c r="TSP45" s="987"/>
      <c r="TSQ45" s="987"/>
      <c r="TSR45" s="987"/>
      <c r="TSS45" s="987"/>
      <c r="TST45" s="987"/>
      <c r="TSU45" s="987"/>
      <c r="TSV45" s="987"/>
      <c r="TSW45" s="987"/>
      <c r="TSX45" s="987"/>
      <c r="TSY45" s="987"/>
      <c r="TSZ45" s="987"/>
      <c r="TTA45" s="987"/>
      <c r="TTB45" s="987"/>
      <c r="TTC45" s="987"/>
      <c r="TTD45" s="987"/>
      <c r="TTE45" s="987"/>
      <c r="TTF45" s="987"/>
      <c r="TTG45" s="987"/>
      <c r="TTH45" s="987"/>
      <c r="TTI45" s="987"/>
      <c r="TTJ45" s="987"/>
      <c r="TTK45" s="987"/>
      <c r="TTL45" s="987"/>
      <c r="TTM45" s="987"/>
      <c r="TTN45" s="987"/>
      <c r="TTO45" s="987"/>
      <c r="TTP45" s="987"/>
      <c r="TTQ45" s="987"/>
      <c r="TTR45" s="987"/>
      <c r="TTS45" s="987"/>
      <c r="TTT45" s="987"/>
      <c r="TTU45" s="987"/>
      <c r="TTV45" s="987"/>
      <c r="TTW45" s="987"/>
      <c r="TTX45" s="987"/>
      <c r="TTY45" s="987"/>
      <c r="TTZ45" s="987"/>
      <c r="TUA45" s="987"/>
      <c r="TUB45" s="987"/>
      <c r="TUC45" s="987"/>
      <c r="TUD45" s="987"/>
      <c r="TUE45" s="987"/>
      <c r="TUF45" s="987"/>
      <c r="TUG45" s="987"/>
      <c r="TUH45" s="987"/>
      <c r="TUI45" s="987"/>
      <c r="TUJ45" s="987"/>
      <c r="TUK45" s="987"/>
      <c r="TUL45" s="987"/>
      <c r="TUM45" s="987"/>
      <c r="TUN45" s="987"/>
      <c r="TUO45" s="987"/>
      <c r="TUP45" s="987"/>
      <c r="TUQ45" s="987"/>
      <c r="TUR45" s="987"/>
      <c r="TUS45" s="987"/>
      <c r="TUT45" s="987"/>
      <c r="TUU45" s="987"/>
      <c r="TUV45" s="987"/>
      <c r="TUW45" s="987"/>
      <c r="TUX45" s="987"/>
      <c r="TUY45" s="987"/>
      <c r="TUZ45" s="987"/>
      <c r="TVA45" s="987"/>
      <c r="TVB45" s="987"/>
      <c r="TVC45" s="987"/>
      <c r="TVD45" s="987"/>
      <c r="TVE45" s="987"/>
      <c r="TVF45" s="987"/>
      <c r="TVG45" s="987"/>
      <c r="TVH45" s="987"/>
      <c r="TVI45" s="987"/>
      <c r="TVJ45" s="987"/>
      <c r="TVK45" s="987"/>
      <c r="TVL45" s="987"/>
      <c r="TVM45" s="987"/>
      <c r="TVN45" s="987"/>
      <c r="TVO45" s="987"/>
      <c r="TVP45" s="987"/>
      <c r="TVQ45" s="987"/>
      <c r="TVR45" s="987"/>
      <c r="TVS45" s="987"/>
      <c r="TVT45" s="987"/>
      <c r="TVU45" s="987"/>
      <c r="TVV45" s="987"/>
      <c r="TVW45" s="987"/>
      <c r="TVX45" s="987"/>
      <c r="TVY45" s="987"/>
      <c r="TVZ45" s="987"/>
      <c r="TWA45" s="987"/>
      <c r="TWB45" s="987"/>
      <c r="TWC45" s="987"/>
      <c r="TWD45" s="987"/>
      <c r="TWE45" s="987"/>
      <c r="TWF45" s="987"/>
      <c r="TWG45" s="987"/>
      <c r="TWH45" s="987"/>
      <c r="TWI45" s="987"/>
      <c r="TWJ45" s="987"/>
      <c r="TWK45" s="987"/>
      <c r="TWL45" s="987"/>
      <c r="TWM45" s="987"/>
      <c r="TWN45" s="987"/>
      <c r="TWO45" s="987"/>
      <c r="TWP45" s="987"/>
      <c r="TWQ45" s="987"/>
      <c r="TWR45" s="987"/>
      <c r="TWS45" s="987"/>
      <c r="TWT45" s="987"/>
      <c r="TWU45" s="987"/>
      <c r="TWV45" s="987"/>
      <c r="TWW45" s="987"/>
      <c r="TWX45" s="987"/>
      <c r="TWY45" s="987"/>
      <c r="TWZ45" s="987"/>
      <c r="TXA45" s="987"/>
      <c r="TXB45" s="987"/>
      <c r="TXC45" s="987"/>
      <c r="TXD45" s="987"/>
      <c r="TXE45" s="987"/>
      <c r="TXF45" s="987"/>
      <c r="TXG45" s="987"/>
      <c r="TXH45" s="987"/>
      <c r="TXI45" s="987"/>
      <c r="TXJ45" s="987"/>
      <c r="TXK45" s="987"/>
      <c r="TXL45" s="987"/>
      <c r="TXM45" s="987"/>
      <c r="TXN45" s="987"/>
      <c r="TXO45" s="987"/>
      <c r="TXP45" s="987"/>
      <c r="TXQ45" s="987"/>
      <c r="TXR45" s="987"/>
      <c r="TXS45" s="987"/>
      <c r="TXT45" s="987"/>
      <c r="TXU45" s="987"/>
      <c r="TXV45" s="987"/>
      <c r="TXW45" s="987"/>
      <c r="TXX45" s="987"/>
      <c r="TXY45" s="987"/>
      <c r="TXZ45" s="987"/>
      <c r="TYA45" s="987"/>
      <c r="TYB45" s="987"/>
      <c r="TYC45" s="987"/>
      <c r="TYD45" s="987"/>
      <c r="TYE45" s="987"/>
      <c r="TYF45" s="987"/>
      <c r="TYG45" s="987"/>
      <c r="TYH45" s="987"/>
      <c r="TYI45" s="987"/>
      <c r="TYJ45" s="987"/>
      <c r="TYK45" s="987"/>
      <c r="TYL45" s="987"/>
      <c r="TYM45" s="987"/>
      <c r="TYN45" s="987"/>
      <c r="TYO45" s="987"/>
      <c r="TYP45" s="987"/>
      <c r="TYQ45" s="987"/>
      <c r="TYR45" s="987"/>
      <c r="TYS45" s="987"/>
      <c r="TYT45" s="987"/>
      <c r="TYU45" s="987"/>
      <c r="TYV45" s="987"/>
      <c r="TYW45" s="987"/>
      <c r="TYX45" s="987"/>
      <c r="TYY45" s="987"/>
      <c r="TYZ45" s="987"/>
      <c r="TZA45" s="987"/>
      <c r="TZB45" s="987"/>
      <c r="TZC45" s="987"/>
      <c r="TZD45" s="987"/>
      <c r="TZE45" s="987"/>
      <c r="TZF45" s="987"/>
      <c r="TZG45" s="987"/>
      <c r="TZH45" s="987"/>
      <c r="TZI45" s="987"/>
      <c r="TZJ45" s="987"/>
      <c r="TZK45" s="987"/>
      <c r="TZL45" s="987"/>
      <c r="TZM45" s="987"/>
      <c r="TZN45" s="987"/>
      <c r="TZO45" s="987"/>
      <c r="TZP45" s="987"/>
      <c r="TZQ45" s="987"/>
      <c r="TZR45" s="987"/>
      <c r="TZS45" s="987"/>
      <c r="TZT45" s="987"/>
      <c r="TZU45" s="987"/>
      <c r="TZV45" s="987"/>
      <c r="TZW45" s="987"/>
      <c r="TZX45" s="987"/>
      <c r="TZY45" s="987"/>
      <c r="TZZ45" s="987"/>
      <c r="UAA45" s="987"/>
      <c r="UAB45" s="987"/>
      <c r="UAC45" s="987"/>
      <c r="UAD45" s="987"/>
      <c r="UAE45" s="987"/>
      <c r="UAF45" s="987"/>
      <c r="UAG45" s="987"/>
      <c r="UAH45" s="987"/>
      <c r="UAI45" s="987"/>
      <c r="UAJ45" s="987"/>
      <c r="UAK45" s="987"/>
      <c r="UAL45" s="987"/>
      <c r="UAM45" s="987"/>
      <c r="UAN45" s="987"/>
      <c r="UAO45" s="987"/>
      <c r="UAP45" s="987"/>
      <c r="UAQ45" s="987"/>
      <c r="UAR45" s="987"/>
      <c r="UAS45" s="987"/>
      <c r="UAT45" s="987"/>
      <c r="UAU45" s="987"/>
      <c r="UAV45" s="987"/>
      <c r="UAW45" s="987"/>
      <c r="UAX45" s="987"/>
      <c r="UAY45" s="987"/>
      <c r="UAZ45" s="987"/>
      <c r="UBA45" s="987"/>
      <c r="UBB45" s="987"/>
      <c r="UBC45" s="987"/>
      <c r="UBD45" s="987"/>
      <c r="UBE45" s="987"/>
      <c r="UBF45" s="987"/>
      <c r="UBG45" s="987"/>
      <c r="UBH45" s="987"/>
      <c r="UBI45" s="987"/>
      <c r="UBJ45" s="987"/>
      <c r="UBK45" s="987"/>
      <c r="UBL45" s="987"/>
      <c r="UBM45" s="987"/>
      <c r="UBN45" s="987"/>
      <c r="UBO45" s="987"/>
      <c r="UBP45" s="987"/>
      <c r="UBQ45" s="987"/>
      <c r="UBR45" s="987"/>
      <c r="UBS45" s="987"/>
      <c r="UBT45" s="987"/>
      <c r="UBU45" s="987"/>
      <c r="UBV45" s="987"/>
      <c r="UBW45" s="987"/>
      <c r="UBX45" s="987"/>
      <c r="UBY45" s="987"/>
      <c r="UBZ45" s="987"/>
      <c r="UCA45" s="987"/>
      <c r="UCB45" s="987"/>
      <c r="UCC45" s="987"/>
      <c r="UCD45" s="987"/>
      <c r="UCE45" s="987"/>
      <c r="UCF45" s="987"/>
      <c r="UCG45" s="987"/>
      <c r="UCH45" s="987"/>
      <c r="UCI45" s="987"/>
      <c r="UCJ45" s="987"/>
      <c r="UCK45" s="987"/>
      <c r="UCL45" s="987"/>
      <c r="UCM45" s="987"/>
      <c r="UCN45" s="987"/>
      <c r="UCO45" s="987"/>
      <c r="UCP45" s="987"/>
      <c r="UCQ45" s="987"/>
      <c r="UCR45" s="987"/>
      <c r="UCS45" s="987"/>
      <c r="UCT45" s="987"/>
      <c r="UCU45" s="987"/>
      <c r="UCV45" s="987"/>
      <c r="UCW45" s="987"/>
      <c r="UCX45" s="987"/>
      <c r="UCY45" s="987"/>
      <c r="UCZ45" s="987"/>
      <c r="UDA45" s="987"/>
      <c r="UDB45" s="987"/>
      <c r="UDC45" s="987"/>
      <c r="UDD45" s="987"/>
      <c r="UDE45" s="987"/>
      <c r="UDF45" s="987"/>
      <c r="UDG45" s="987"/>
      <c r="UDH45" s="987"/>
      <c r="UDI45" s="987"/>
      <c r="UDJ45" s="987"/>
      <c r="UDK45" s="987"/>
      <c r="UDL45" s="987"/>
      <c r="UDM45" s="987"/>
      <c r="UDN45" s="987"/>
      <c r="UDO45" s="987"/>
      <c r="UDP45" s="987"/>
      <c r="UDQ45" s="987"/>
      <c r="UDR45" s="987"/>
      <c r="UDS45" s="987"/>
      <c r="UDT45" s="987"/>
      <c r="UDU45" s="987"/>
      <c r="UDV45" s="987"/>
      <c r="UDW45" s="987"/>
      <c r="UDX45" s="987"/>
      <c r="UDY45" s="987"/>
      <c r="UDZ45" s="987"/>
      <c r="UEA45" s="987"/>
      <c r="UEB45" s="987"/>
      <c r="UEC45" s="987"/>
      <c r="UED45" s="987"/>
      <c r="UEE45" s="987"/>
      <c r="UEF45" s="987"/>
      <c r="UEG45" s="987"/>
      <c r="UEH45" s="987"/>
      <c r="UEI45" s="987"/>
      <c r="UEJ45" s="987"/>
      <c r="UEK45" s="987"/>
      <c r="UEL45" s="987"/>
      <c r="UEM45" s="987"/>
      <c r="UEN45" s="987"/>
      <c r="UEO45" s="987"/>
      <c r="UEP45" s="987"/>
      <c r="UEQ45" s="987"/>
      <c r="UER45" s="987"/>
      <c r="UES45" s="987"/>
      <c r="UET45" s="987"/>
      <c r="UEU45" s="987"/>
      <c r="UEV45" s="987"/>
      <c r="UEW45" s="987"/>
      <c r="UEX45" s="987"/>
      <c r="UEY45" s="987"/>
      <c r="UEZ45" s="987"/>
      <c r="UFA45" s="987"/>
      <c r="UFB45" s="987"/>
      <c r="UFC45" s="987"/>
      <c r="UFD45" s="987"/>
      <c r="UFE45" s="987"/>
      <c r="UFF45" s="987"/>
      <c r="UFG45" s="987"/>
      <c r="UFH45" s="987"/>
      <c r="UFI45" s="987"/>
      <c r="UFJ45" s="987"/>
      <c r="UFK45" s="987"/>
      <c r="UFL45" s="987"/>
      <c r="UFM45" s="987"/>
      <c r="UFN45" s="987"/>
      <c r="UFO45" s="987"/>
      <c r="UFP45" s="987"/>
      <c r="UFQ45" s="987"/>
      <c r="UFR45" s="987"/>
      <c r="UFS45" s="987"/>
      <c r="UFT45" s="987"/>
      <c r="UFU45" s="987"/>
      <c r="UFV45" s="987"/>
      <c r="UFW45" s="987"/>
      <c r="UFX45" s="987"/>
      <c r="UFY45" s="987"/>
      <c r="UFZ45" s="987"/>
      <c r="UGA45" s="987"/>
      <c r="UGB45" s="987"/>
      <c r="UGC45" s="987"/>
      <c r="UGD45" s="987"/>
      <c r="UGE45" s="987"/>
      <c r="UGF45" s="987"/>
      <c r="UGG45" s="987"/>
      <c r="UGH45" s="987"/>
      <c r="UGI45" s="987"/>
      <c r="UGJ45" s="987"/>
      <c r="UGK45" s="987"/>
      <c r="UGL45" s="987"/>
      <c r="UGM45" s="987"/>
      <c r="UGN45" s="987"/>
      <c r="UGO45" s="987"/>
      <c r="UGP45" s="987"/>
      <c r="UGQ45" s="987"/>
      <c r="UGR45" s="987"/>
      <c r="UGS45" s="987"/>
      <c r="UGT45" s="987"/>
      <c r="UGU45" s="987"/>
      <c r="UGV45" s="987"/>
      <c r="UGW45" s="987"/>
      <c r="UGX45" s="987"/>
      <c r="UGY45" s="987"/>
      <c r="UGZ45" s="987"/>
      <c r="UHA45" s="987"/>
      <c r="UHB45" s="987"/>
      <c r="UHC45" s="987"/>
      <c r="UHD45" s="987"/>
      <c r="UHE45" s="987"/>
      <c r="UHF45" s="987"/>
      <c r="UHG45" s="987"/>
      <c r="UHH45" s="987"/>
      <c r="UHI45" s="987"/>
      <c r="UHJ45" s="987"/>
      <c r="UHK45" s="987"/>
      <c r="UHL45" s="987"/>
      <c r="UHM45" s="987"/>
      <c r="UHN45" s="987"/>
      <c r="UHO45" s="987"/>
      <c r="UHP45" s="987"/>
      <c r="UHQ45" s="987"/>
      <c r="UHR45" s="987"/>
      <c r="UHS45" s="987"/>
      <c r="UHT45" s="987"/>
      <c r="UHU45" s="987"/>
      <c r="UHV45" s="987"/>
      <c r="UHW45" s="987"/>
      <c r="UHX45" s="987"/>
      <c r="UHY45" s="987"/>
      <c r="UHZ45" s="987"/>
      <c r="UIA45" s="987"/>
      <c r="UIB45" s="987"/>
      <c r="UIC45" s="987"/>
      <c r="UID45" s="987"/>
      <c r="UIE45" s="987"/>
      <c r="UIF45" s="987"/>
      <c r="UIG45" s="987"/>
      <c r="UIH45" s="987"/>
      <c r="UII45" s="987"/>
      <c r="UIJ45" s="987"/>
      <c r="UIK45" s="987"/>
      <c r="UIL45" s="987"/>
      <c r="UIM45" s="987"/>
      <c r="UIN45" s="987"/>
      <c r="UIO45" s="987"/>
      <c r="UIP45" s="987"/>
      <c r="UIQ45" s="987"/>
      <c r="UIR45" s="987"/>
      <c r="UIS45" s="987"/>
      <c r="UIT45" s="987"/>
      <c r="UIU45" s="987"/>
      <c r="UIV45" s="987"/>
      <c r="UIW45" s="987"/>
      <c r="UIX45" s="987"/>
      <c r="UIY45" s="987"/>
      <c r="UIZ45" s="987"/>
      <c r="UJA45" s="987"/>
      <c r="UJB45" s="987"/>
      <c r="UJC45" s="987"/>
      <c r="UJD45" s="987"/>
      <c r="UJE45" s="987"/>
      <c r="UJF45" s="987"/>
      <c r="UJG45" s="987"/>
      <c r="UJH45" s="987"/>
      <c r="UJI45" s="987"/>
      <c r="UJJ45" s="987"/>
      <c r="UJK45" s="987"/>
      <c r="UJL45" s="987"/>
      <c r="UJM45" s="987"/>
      <c r="UJN45" s="987"/>
      <c r="UJO45" s="987"/>
      <c r="UJP45" s="987"/>
      <c r="UJQ45" s="987"/>
      <c r="UJR45" s="987"/>
      <c r="UJS45" s="987"/>
      <c r="UJT45" s="987"/>
      <c r="UJU45" s="987"/>
      <c r="UJV45" s="987"/>
      <c r="UJW45" s="987"/>
      <c r="UJX45" s="987"/>
      <c r="UJY45" s="987"/>
      <c r="UJZ45" s="987"/>
      <c r="UKA45" s="987"/>
      <c r="UKB45" s="987"/>
      <c r="UKC45" s="987"/>
      <c r="UKD45" s="987"/>
      <c r="UKE45" s="987"/>
      <c r="UKF45" s="987"/>
      <c r="UKG45" s="987"/>
      <c r="UKH45" s="987"/>
      <c r="UKI45" s="987"/>
      <c r="UKJ45" s="987"/>
      <c r="UKK45" s="987"/>
      <c r="UKL45" s="987"/>
      <c r="UKM45" s="987"/>
      <c r="UKN45" s="987"/>
      <c r="UKO45" s="987"/>
      <c r="UKP45" s="987"/>
      <c r="UKQ45" s="987"/>
      <c r="UKR45" s="987"/>
      <c r="UKS45" s="987"/>
      <c r="UKT45" s="987"/>
      <c r="UKU45" s="987"/>
      <c r="UKV45" s="987"/>
      <c r="UKW45" s="987"/>
      <c r="UKX45" s="987"/>
      <c r="UKY45" s="987"/>
      <c r="UKZ45" s="987"/>
      <c r="ULA45" s="987"/>
      <c r="ULB45" s="987"/>
      <c r="ULC45" s="987"/>
      <c r="ULD45" s="987"/>
      <c r="ULE45" s="987"/>
      <c r="ULF45" s="987"/>
      <c r="ULG45" s="987"/>
      <c r="ULH45" s="987"/>
      <c r="ULI45" s="987"/>
      <c r="ULJ45" s="987"/>
      <c r="ULK45" s="987"/>
      <c r="ULL45" s="987"/>
      <c r="ULM45" s="987"/>
      <c r="ULN45" s="987"/>
      <c r="ULO45" s="987"/>
      <c r="ULP45" s="987"/>
      <c r="ULQ45" s="987"/>
      <c r="ULR45" s="987"/>
      <c r="ULS45" s="987"/>
      <c r="ULT45" s="987"/>
      <c r="ULU45" s="987"/>
      <c r="ULV45" s="987"/>
      <c r="ULW45" s="987"/>
      <c r="ULX45" s="987"/>
      <c r="ULY45" s="987"/>
      <c r="ULZ45" s="987"/>
      <c r="UMA45" s="987"/>
      <c r="UMB45" s="987"/>
      <c r="UMC45" s="987"/>
      <c r="UMD45" s="987"/>
      <c r="UME45" s="987"/>
      <c r="UMF45" s="987"/>
      <c r="UMG45" s="987"/>
      <c r="UMH45" s="987"/>
      <c r="UMI45" s="987"/>
      <c r="UMJ45" s="987"/>
      <c r="UMK45" s="987"/>
      <c r="UML45" s="987"/>
      <c r="UMM45" s="987"/>
      <c r="UMN45" s="987"/>
      <c r="UMO45" s="987"/>
      <c r="UMP45" s="987"/>
      <c r="UMQ45" s="987"/>
      <c r="UMR45" s="987"/>
      <c r="UMS45" s="987"/>
      <c r="UMT45" s="987"/>
      <c r="UMU45" s="987"/>
      <c r="UMV45" s="987"/>
      <c r="UMW45" s="987"/>
      <c r="UMX45" s="987"/>
      <c r="UMY45" s="987"/>
      <c r="UMZ45" s="987"/>
      <c r="UNA45" s="987"/>
      <c r="UNB45" s="987"/>
      <c r="UNC45" s="987"/>
      <c r="UND45" s="987"/>
      <c r="UNE45" s="987"/>
      <c r="UNF45" s="987"/>
      <c r="UNG45" s="987"/>
      <c r="UNH45" s="987"/>
      <c r="UNI45" s="987"/>
      <c r="UNJ45" s="987"/>
      <c r="UNK45" s="987"/>
      <c r="UNL45" s="987"/>
      <c r="UNM45" s="987"/>
      <c r="UNN45" s="987"/>
      <c r="UNO45" s="987"/>
      <c r="UNP45" s="987"/>
      <c r="UNQ45" s="987"/>
      <c r="UNR45" s="987"/>
      <c r="UNS45" s="987"/>
      <c r="UNT45" s="987"/>
      <c r="UNU45" s="987"/>
      <c r="UNV45" s="987"/>
      <c r="UNW45" s="987"/>
      <c r="UNX45" s="987"/>
      <c r="UNY45" s="987"/>
      <c r="UNZ45" s="987"/>
      <c r="UOA45" s="987"/>
      <c r="UOB45" s="987"/>
      <c r="UOC45" s="987"/>
      <c r="UOD45" s="987"/>
      <c r="UOE45" s="987"/>
      <c r="UOF45" s="987"/>
      <c r="UOG45" s="987"/>
      <c r="UOH45" s="987"/>
      <c r="UOI45" s="987"/>
      <c r="UOJ45" s="987"/>
      <c r="UOK45" s="987"/>
      <c r="UOL45" s="987"/>
      <c r="UOM45" s="987"/>
      <c r="UON45" s="987"/>
      <c r="UOO45" s="987"/>
      <c r="UOP45" s="987"/>
      <c r="UOQ45" s="987"/>
      <c r="UOR45" s="987"/>
      <c r="UOS45" s="987"/>
      <c r="UOT45" s="987"/>
      <c r="UOU45" s="987"/>
      <c r="UOV45" s="987"/>
      <c r="UOW45" s="987"/>
      <c r="UOX45" s="987"/>
      <c r="UOY45" s="987"/>
      <c r="UOZ45" s="987"/>
      <c r="UPA45" s="987"/>
      <c r="UPB45" s="987"/>
      <c r="UPC45" s="987"/>
      <c r="UPD45" s="987"/>
      <c r="UPE45" s="987"/>
      <c r="UPF45" s="987"/>
      <c r="UPG45" s="987"/>
      <c r="UPH45" s="987"/>
      <c r="UPI45" s="987"/>
      <c r="UPJ45" s="987"/>
      <c r="UPK45" s="987"/>
      <c r="UPL45" s="987"/>
      <c r="UPM45" s="987"/>
      <c r="UPN45" s="987"/>
      <c r="UPO45" s="987"/>
      <c r="UPP45" s="987"/>
      <c r="UPQ45" s="987"/>
      <c r="UPR45" s="987"/>
      <c r="UPS45" s="987"/>
      <c r="UPT45" s="987"/>
      <c r="UPU45" s="987"/>
      <c r="UPV45" s="987"/>
      <c r="UPW45" s="987"/>
      <c r="UPX45" s="987"/>
      <c r="UPY45" s="987"/>
      <c r="UPZ45" s="987"/>
      <c r="UQA45" s="987"/>
      <c r="UQB45" s="987"/>
      <c r="UQC45" s="987"/>
      <c r="UQD45" s="987"/>
      <c r="UQE45" s="987"/>
      <c r="UQF45" s="987"/>
      <c r="UQG45" s="987"/>
      <c r="UQH45" s="987"/>
      <c r="UQI45" s="987"/>
      <c r="UQJ45" s="987"/>
      <c r="UQK45" s="987"/>
      <c r="UQL45" s="987"/>
      <c r="UQM45" s="987"/>
      <c r="UQN45" s="987"/>
      <c r="UQO45" s="987"/>
      <c r="UQP45" s="987"/>
      <c r="UQQ45" s="987"/>
      <c r="UQR45" s="987"/>
      <c r="UQS45" s="987"/>
      <c r="UQT45" s="987"/>
      <c r="UQU45" s="987"/>
      <c r="UQV45" s="987"/>
      <c r="UQW45" s="987"/>
      <c r="UQX45" s="987"/>
      <c r="UQY45" s="987"/>
      <c r="UQZ45" s="987"/>
      <c r="URA45" s="987"/>
      <c r="URB45" s="987"/>
      <c r="URC45" s="987"/>
      <c r="URD45" s="987"/>
      <c r="URE45" s="987"/>
      <c r="URF45" s="987"/>
      <c r="URG45" s="987"/>
      <c r="URH45" s="987"/>
      <c r="URI45" s="987"/>
      <c r="URJ45" s="987"/>
      <c r="URK45" s="987"/>
      <c r="URL45" s="987"/>
      <c r="URM45" s="987"/>
      <c r="URN45" s="987"/>
      <c r="URO45" s="987"/>
      <c r="URP45" s="987"/>
      <c r="URQ45" s="987"/>
      <c r="URR45" s="987"/>
      <c r="URS45" s="987"/>
      <c r="URT45" s="987"/>
      <c r="URU45" s="987"/>
      <c r="URV45" s="987"/>
      <c r="URW45" s="987"/>
      <c r="URX45" s="987"/>
      <c r="URY45" s="987"/>
      <c r="URZ45" s="987"/>
      <c r="USA45" s="987"/>
      <c r="USB45" s="987"/>
      <c r="USC45" s="987"/>
      <c r="USD45" s="987"/>
      <c r="USE45" s="987"/>
      <c r="USF45" s="987"/>
      <c r="USG45" s="987"/>
      <c r="USH45" s="987"/>
      <c r="USI45" s="987"/>
      <c r="USJ45" s="987"/>
      <c r="USK45" s="987"/>
      <c r="USL45" s="987"/>
      <c r="USM45" s="987"/>
      <c r="USN45" s="987"/>
      <c r="USO45" s="987"/>
      <c r="USP45" s="987"/>
      <c r="USQ45" s="987"/>
      <c r="USR45" s="987"/>
      <c r="USS45" s="987"/>
      <c r="UST45" s="987"/>
      <c r="USU45" s="987"/>
      <c r="USV45" s="987"/>
      <c r="USW45" s="987"/>
      <c r="USX45" s="987"/>
      <c r="USY45" s="987"/>
      <c r="USZ45" s="987"/>
      <c r="UTA45" s="987"/>
      <c r="UTB45" s="987"/>
      <c r="UTC45" s="987"/>
      <c r="UTD45" s="987"/>
      <c r="UTE45" s="987"/>
      <c r="UTF45" s="987"/>
      <c r="UTG45" s="987"/>
      <c r="UTH45" s="987"/>
      <c r="UTI45" s="987"/>
      <c r="UTJ45" s="987"/>
      <c r="UTK45" s="987"/>
      <c r="UTL45" s="987"/>
      <c r="UTM45" s="987"/>
      <c r="UTN45" s="987"/>
      <c r="UTO45" s="987"/>
      <c r="UTP45" s="987"/>
      <c r="UTQ45" s="987"/>
      <c r="UTR45" s="987"/>
      <c r="UTS45" s="987"/>
      <c r="UTT45" s="987"/>
      <c r="UTU45" s="987"/>
      <c r="UTV45" s="987"/>
      <c r="UTW45" s="987"/>
      <c r="UTX45" s="987"/>
      <c r="UTY45" s="987"/>
      <c r="UTZ45" s="987"/>
      <c r="UUA45" s="987"/>
      <c r="UUB45" s="987"/>
      <c r="UUC45" s="987"/>
      <c r="UUD45" s="987"/>
      <c r="UUE45" s="987"/>
      <c r="UUF45" s="987"/>
      <c r="UUG45" s="987"/>
      <c r="UUH45" s="987"/>
      <c r="UUI45" s="987"/>
      <c r="UUJ45" s="987"/>
      <c r="UUK45" s="987"/>
      <c r="UUL45" s="987"/>
      <c r="UUM45" s="987"/>
      <c r="UUN45" s="987"/>
      <c r="UUO45" s="987"/>
      <c r="UUP45" s="987"/>
      <c r="UUQ45" s="987"/>
      <c r="UUR45" s="987"/>
      <c r="UUS45" s="987"/>
      <c r="UUT45" s="987"/>
      <c r="UUU45" s="987"/>
      <c r="UUV45" s="987"/>
      <c r="UUW45" s="987"/>
      <c r="UUX45" s="987"/>
      <c r="UUY45" s="987"/>
      <c r="UUZ45" s="987"/>
      <c r="UVA45" s="987"/>
      <c r="UVB45" s="987"/>
      <c r="UVC45" s="987"/>
      <c r="UVD45" s="987"/>
      <c r="UVE45" s="987"/>
      <c r="UVF45" s="987"/>
      <c r="UVG45" s="987"/>
      <c r="UVH45" s="987"/>
      <c r="UVI45" s="987"/>
      <c r="UVJ45" s="987"/>
      <c r="UVK45" s="987"/>
      <c r="UVL45" s="987"/>
      <c r="UVM45" s="987"/>
      <c r="UVN45" s="987"/>
      <c r="UVO45" s="987"/>
      <c r="UVP45" s="987"/>
      <c r="UVQ45" s="987"/>
      <c r="UVR45" s="987"/>
      <c r="UVS45" s="987"/>
      <c r="UVT45" s="987"/>
      <c r="UVU45" s="987"/>
      <c r="UVV45" s="987"/>
      <c r="UVW45" s="987"/>
      <c r="UVX45" s="987"/>
      <c r="UVY45" s="987"/>
      <c r="UVZ45" s="987"/>
      <c r="UWA45" s="987"/>
      <c r="UWB45" s="987"/>
      <c r="UWC45" s="987"/>
      <c r="UWD45" s="987"/>
      <c r="UWE45" s="987"/>
      <c r="UWF45" s="987"/>
      <c r="UWG45" s="987"/>
      <c r="UWH45" s="987"/>
      <c r="UWI45" s="987"/>
      <c r="UWJ45" s="987"/>
      <c r="UWK45" s="987"/>
      <c r="UWL45" s="987"/>
      <c r="UWM45" s="987"/>
      <c r="UWN45" s="987"/>
      <c r="UWO45" s="987"/>
      <c r="UWP45" s="987"/>
      <c r="UWQ45" s="987"/>
      <c r="UWR45" s="987"/>
      <c r="UWS45" s="987"/>
      <c r="UWT45" s="987"/>
      <c r="UWU45" s="987"/>
      <c r="UWV45" s="987"/>
      <c r="UWW45" s="987"/>
      <c r="UWX45" s="987"/>
      <c r="UWY45" s="987"/>
      <c r="UWZ45" s="987"/>
      <c r="UXA45" s="987"/>
      <c r="UXB45" s="987"/>
      <c r="UXC45" s="987"/>
      <c r="UXD45" s="987"/>
      <c r="UXE45" s="987"/>
      <c r="UXF45" s="987"/>
      <c r="UXG45" s="987"/>
      <c r="UXH45" s="987"/>
      <c r="UXI45" s="987"/>
      <c r="UXJ45" s="987"/>
      <c r="UXK45" s="987"/>
      <c r="UXL45" s="987"/>
      <c r="UXM45" s="987"/>
      <c r="UXN45" s="987"/>
      <c r="UXO45" s="987"/>
      <c r="UXP45" s="987"/>
      <c r="UXQ45" s="987"/>
      <c r="UXR45" s="987"/>
      <c r="UXS45" s="987"/>
      <c r="UXT45" s="987"/>
      <c r="UXU45" s="987"/>
      <c r="UXV45" s="987"/>
      <c r="UXW45" s="987"/>
      <c r="UXX45" s="987"/>
      <c r="UXY45" s="987"/>
      <c r="UXZ45" s="987"/>
      <c r="UYA45" s="987"/>
      <c r="UYB45" s="987"/>
      <c r="UYC45" s="987"/>
      <c r="UYD45" s="987"/>
      <c r="UYE45" s="987"/>
      <c r="UYF45" s="987"/>
      <c r="UYG45" s="987"/>
      <c r="UYH45" s="987"/>
      <c r="UYI45" s="987"/>
      <c r="UYJ45" s="987"/>
      <c r="UYK45" s="987"/>
      <c r="UYL45" s="987"/>
      <c r="UYM45" s="987"/>
      <c r="UYN45" s="987"/>
      <c r="UYO45" s="987"/>
      <c r="UYP45" s="987"/>
      <c r="UYQ45" s="987"/>
      <c r="UYR45" s="987"/>
      <c r="UYS45" s="987"/>
      <c r="UYT45" s="987"/>
      <c r="UYU45" s="987"/>
      <c r="UYV45" s="987"/>
      <c r="UYW45" s="987"/>
      <c r="UYX45" s="987"/>
      <c r="UYY45" s="987"/>
      <c r="UYZ45" s="987"/>
      <c r="UZA45" s="987"/>
      <c r="UZB45" s="987"/>
      <c r="UZC45" s="987"/>
      <c r="UZD45" s="987"/>
      <c r="UZE45" s="987"/>
      <c r="UZF45" s="987"/>
      <c r="UZG45" s="987"/>
      <c r="UZH45" s="987"/>
      <c r="UZI45" s="987"/>
      <c r="UZJ45" s="987"/>
      <c r="UZK45" s="987"/>
      <c r="UZL45" s="987"/>
      <c r="UZM45" s="987"/>
      <c r="UZN45" s="987"/>
      <c r="UZO45" s="987"/>
      <c r="UZP45" s="987"/>
      <c r="UZQ45" s="987"/>
      <c r="UZR45" s="987"/>
      <c r="UZS45" s="987"/>
      <c r="UZT45" s="987"/>
      <c r="UZU45" s="987"/>
      <c r="UZV45" s="987"/>
      <c r="UZW45" s="987"/>
      <c r="UZX45" s="987"/>
      <c r="UZY45" s="987"/>
      <c r="UZZ45" s="987"/>
      <c r="VAA45" s="987"/>
      <c r="VAB45" s="987"/>
      <c r="VAC45" s="987"/>
      <c r="VAD45" s="987"/>
      <c r="VAE45" s="987"/>
      <c r="VAF45" s="987"/>
      <c r="VAG45" s="987"/>
      <c r="VAH45" s="987"/>
      <c r="VAI45" s="987"/>
      <c r="VAJ45" s="987"/>
      <c r="VAK45" s="987"/>
      <c r="VAL45" s="987"/>
      <c r="VAM45" s="987"/>
      <c r="VAN45" s="987"/>
      <c r="VAO45" s="987"/>
      <c r="VAP45" s="987"/>
      <c r="VAQ45" s="987"/>
      <c r="VAR45" s="987"/>
      <c r="VAS45" s="987"/>
      <c r="VAT45" s="987"/>
      <c r="VAU45" s="987"/>
      <c r="VAV45" s="987"/>
      <c r="VAW45" s="987"/>
      <c r="VAX45" s="987"/>
      <c r="VAY45" s="987"/>
      <c r="VAZ45" s="987"/>
      <c r="VBA45" s="987"/>
      <c r="VBB45" s="987"/>
      <c r="VBC45" s="987"/>
      <c r="VBD45" s="987"/>
      <c r="VBE45" s="987"/>
      <c r="VBF45" s="987"/>
      <c r="VBG45" s="987"/>
      <c r="VBH45" s="987"/>
      <c r="VBI45" s="987"/>
      <c r="VBJ45" s="987"/>
      <c r="VBK45" s="987"/>
      <c r="VBL45" s="987"/>
      <c r="VBM45" s="987"/>
      <c r="VBN45" s="987"/>
      <c r="VBO45" s="987"/>
      <c r="VBP45" s="987"/>
      <c r="VBQ45" s="987"/>
      <c r="VBR45" s="987"/>
      <c r="VBS45" s="987"/>
      <c r="VBT45" s="987"/>
      <c r="VBU45" s="987"/>
      <c r="VBV45" s="987"/>
      <c r="VBW45" s="987"/>
      <c r="VBX45" s="987"/>
      <c r="VBY45" s="987"/>
      <c r="VBZ45" s="987"/>
      <c r="VCA45" s="987"/>
      <c r="VCB45" s="987"/>
      <c r="VCC45" s="987"/>
      <c r="VCD45" s="987"/>
      <c r="VCE45" s="987"/>
      <c r="VCF45" s="987"/>
      <c r="VCG45" s="987"/>
      <c r="VCH45" s="987"/>
      <c r="VCI45" s="987"/>
      <c r="VCJ45" s="987"/>
      <c r="VCK45" s="987"/>
      <c r="VCL45" s="987"/>
      <c r="VCM45" s="987"/>
      <c r="VCN45" s="987"/>
      <c r="VCO45" s="987"/>
      <c r="VCP45" s="987"/>
      <c r="VCQ45" s="987"/>
      <c r="VCR45" s="987"/>
      <c r="VCS45" s="987"/>
      <c r="VCT45" s="987"/>
      <c r="VCU45" s="987"/>
      <c r="VCV45" s="987"/>
      <c r="VCW45" s="987"/>
      <c r="VCX45" s="987"/>
      <c r="VCY45" s="987"/>
      <c r="VCZ45" s="987"/>
      <c r="VDA45" s="987"/>
      <c r="VDB45" s="987"/>
      <c r="VDC45" s="987"/>
      <c r="VDD45" s="987"/>
      <c r="VDE45" s="987"/>
      <c r="VDF45" s="987"/>
      <c r="VDG45" s="987"/>
      <c r="VDH45" s="987"/>
      <c r="VDI45" s="987"/>
      <c r="VDJ45" s="987"/>
      <c r="VDK45" s="987"/>
      <c r="VDL45" s="987"/>
      <c r="VDM45" s="987"/>
      <c r="VDN45" s="987"/>
      <c r="VDO45" s="987"/>
      <c r="VDP45" s="987"/>
      <c r="VDQ45" s="987"/>
      <c r="VDR45" s="987"/>
      <c r="VDS45" s="987"/>
      <c r="VDT45" s="987"/>
      <c r="VDU45" s="987"/>
      <c r="VDV45" s="987"/>
      <c r="VDW45" s="987"/>
      <c r="VDX45" s="987"/>
      <c r="VDY45" s="987"/>
      <c r="VDZ45" s="987"/>
      <c r="VEA45" s="987"/>
      <c r="VEB45" s="987"/>
      <c r="VEC45" s="987"/>
      <c r="VED45" s="987"/>
      <c r="VEE45" s="987"/>
      <c r="VEF45" s="987"/>
      <c r="VEG45" s="987"/>
      <c r="VEH45" s="987"/>
      <c r="VEI45" s="987"/>
      <c r="VEJ45" s="987"/>
      <c r="VEK45" s="987"/>
      <c r="VEL45" s="987"/>
      <c r="VEM45" s="987"/>
      <c r="VEN45" s="987"/>
      <c r="VEO45" s="987"/>
      <c r="VEP45" s="987"/>
      <c r="VEQ45" s="987"/>
      <c r="VER45" s="987"/>
      <c r="VES45" s="987"/>
      <c r="VET45" s="987"/>
      <c r="VEU45" s="987"/>
      <c r="VEV45" s="987"/>
      <c r="VEW45" s="987"/>
      <c r="VEX45" s="987"/>
      <c r="VEY45" s="987"/>
      <c r="VEZ45" s="987"/>
      <c r="VFA45" s="987"/>
      <c r="VFB45" s="987"/>
      <c r="VFC45" s="987"/>
      <c r="VFD45" s="987"/>
      <c r="VFE45" s="987"/>
      <c r="VFF45" s="987"/>
      <c r="VFG45" s="987"/>
      <c r="VFH45" s="987"/>
      <c r="VFI45" s="987"/>
      <c r="VFJ45" s="987"/>
      <c r="VFK45" s="987"/>
      <c r="VFL45" s="987"/>
      <c r="VFM45" s="987"/>
      <c r="VFN45" s="987"/>
      <c r="VFO45" s="987"/>
      <c r="VFP45" s="987"/>
      <c r="VFQ45" s="987"/>
      <c r="VFR45" s="987"/>
      <c r="VFS45" s="987"/>
      <c r="VFT45" s="987"/>
      <c r="VFU45" s="987"/>
      <c r="VFV45" s="987"/>
      <c r="VFW45" s="987"/>
      <c r="VFX45" s="987"/>
      <c r="VFY45" s="987"/>
      <c r="VFZ45" s="987"/>
      <c r="VGA45" s="987"/>
      <c r="VGB45" s="987"/>
      <c r="VGC45" s="987"/>
      <c r="VGD45" s="987"/>
      <c r="VGE45" s="987"/>
      <c r="VGF45" s="987"/>
      <c r="VGG45" s="987"/>
      <c r="VGH45" s="987"/>
      <c r="VGI45" s="987"/>
      <c r="VGJ45" s="987"/>
      <c r="VGK45" s="987"/>
      <c r="VGL45" s="987"/>
      <c r="VGM45" s="987"/>
      <c r="VGN45" s="987"/>
      <c r="VGO45" s="987"/>
      <c r="VGP45" s="987"/>
      <c r="VGQ45" s="987"/>
      <c r="VGR45" s="987"/>
      <c r="VGS45" s="987"/>
      <c r="VGT45" s="987"/>
      <c r="VGU45" s="987"/>
      <c r="VGV45" s="987"/>
      <c r="VGW45" s="987"/>
      <c r="VGX45" s="987"/>
      <c r="VGY45" s="987"/>
      <c r="VGZ45" s="987"/>
      <c r="VHA45" s="987"/>
      <c r="VHB45" s="987"/>
      <c r="VHC45" s="987"/>
      <c r="VHD45" s="987"/>
      <c r="VHE45" s="987"/>
      <c r="VHF45" s="987"/>
      <c r="VHG45" s="987"/>
      <c r="VHH45" s="987"/>
      <c r="VHI45" s="987"/>
      <c r="VHJ45" s="987"/>
      <c r="VHK45" s="987"/>
      <c r="VHL45" s="987"/>
      <c r="VHM45" s="987"/>
      <c r="VHN45" s="987"/>
      <c r="VHO45" s="987"/>
      <c r="VHP45" s="987"/>
      <c r="VHQ45" s="987"/>
      <c r="VHR45" s="987"/>
      <c r="VHS45" s="987"/>
      <c r="VHT45" s="987"/>
      <c r="VHU45" s="987"/>
      <c r="VHV45" s="987"/>
      <c r="VHW45" s="987"/>
      <c r="VHX45" s="987"/>
      <c r="VHY45" s="987"/>
      <c r="VHZ45" s="987"/>
      <c r="VIA45" s="987"/>
      <c r="VIB45" s="987"/>
      <c r="VIC45" s="987"/>
      <c r="VID45" s="987"/>
      <c r="VIE45" s="987"/>
      <c r="VIF45" s="987"/>
      <c r="VIG45" s="987"/>
      <c r="VIH45" s="987"/>
      <c r="VII45" s="987"/>
      <c r="VIJ45" s="987"/>
      <c r="VIK45" s="987"/>
      <c r="VIL45" s="987"/>
      <c r="VIM45" s="987"/>
      <c r="VIN45" s="987"/>
      <c r="VIO45" s="987"/>
      <c r="VIP45" s="987"/>
      <c r="VIQ45" s="987"/>
      <c r="VIR45" s="987"/>
      <c r="VIS45" s="987"/>
      <c r="VIT45" s="987"/>
      <c r="VIU45" s="987"/>
      <c r="VIV45" s="987"/>
      <c r="VIW45" s="987"/>
      <c r="VIX45" s="987"/>
      <c r="VIY45" s="987"/>
      <c r="VIZ45" s="987"/>
      <c r="VJA45" s="987"/>
      <c r="VJB45" s="987"/>
      <c r="VJC45" s="987"/>
      <c r="VJD45" s="987"/>
      <c r="VJE45" s="987"/>
      <c r="VJF45" s="987"/>
      <c r="VJG45" s="987"/>
      <c r="VJH45" s="987"/>
      <c r="VJI45" s="987"/>
      <c r="VJJ45" s="987"/>
      <c r="VJK45" s="987"/>
      <c r="VJL45" s="987"/>
      <c r="VJM45" s="987"/>
      <c r="VJN45" s="987"/>
      <c r="VJO45" s="987"/>
      <c r="VJP45" s="987"/>
      <c r="VJQ45" s="987"/>
      <c r="VJR45" s="987"/>
      <c r="VJS45" s="987"/>
      <c r="VJT45" s="987"/>
      <c r="VJU45" s="987"/>
      <c r="VJV45" s="987"/>
      <c r="VJW45" s="987"/>
      <c r="VJX45" s="987"/>
      <c r="VJY45" s="987"/>
      <c r="VJZ45" s="987"/>
      <c r="VKA45" s="987"/>
      <c r="VKB45" s="987"/>
      <c r="VKC45" s="987"/>
      <c r="VKD45" s="987"/>
      <c r="VKE45" s="987"/>
      <c r="VKF45" s="987"/>
      <c r="VKG45" s="987"/>
      <c r="VKH45" s="987"/>
      <c r="VKI45" s="987"/>
      <c r="VKJ45" s="987"/>
      <c r="VKK45" s="987"/>
      <c r="VKL45" s="987"/>
      <c r="VKM45" s="987"/>
      <c r="VKN45" s="987"/>
      <c r="VKO45" s="987"/>
      <c r="VKP45" s="987"/>
      <c r="VKQ45" s="987"/>
      <c r="VKR45" s="987"/>
      <c r="VKS45" s="987"/>
      <c r="VKT45" s="987"/>
      <c r="VKU45" s="987"/>
      <c r="VKV45" s="987"/>
      <c r="VKW45" s="987"/>
      <c r="VKX45" s="987"/>
      <c r="VKY45" s="987"/>
      <c r="VKZ45" s="987"/>
      <c r="VLA45" s="987"/>
      <c r="VLB45" s="987"/>
      <c r="VLC45" s="987"/>
      <c r="VLD45" s="987"/>
      <c r="VLE45" s="987"/>
      <c r="VLF45" s="987"/>
      <c r="VLG45" s="987"/>
      <c r="VLH45" s="987"/>
      <c r="VLI45" s="987"/>
      <c r="VLJ45" s="987"/>
      <c r="VLK45" s="987"/>
      <c r="VLL45" s="987"/>
      <c r="VLM45" s="987"/>
      <c r="VLN45" s="987"/>
      <c r="VLO45" s="987"/>
      <c r="VLP45" s="987"/>
      <c r="VLQ45" s="987"/>
      <c r="VLR45" s="987"/>
      <c r="VLS45" s="987"/>
      <c r="VLT45" s="987"/>
      <c r="VLU45" s="987"/>
      <c r="VLV45" s="987"/>
      <c r="VLW45" s="987"/>
      <c r="VLX45" s="987"/>
      <c r="VLY45" s="987"/>
      <c r="VLZ45" s="987"/>
      <c r="VMA45" s="987"/>
      <c r="VMB45" s="987"/>
      <c r="VMC45" s="987"/>
      <c r="VMD45" s="987"/>
      <c r="VME45" s="987"/>
      <c r="VMF45" s="987"/>
      <c r="VMG45" s="987"/>
      <c r="VMH45" s="987"/>
      <c r="VMI45" s="987"/>
      <c r="VMJ45" s="987"/>
      <c r="VMK45" s="987"/>
      <c r="VML45" s="987"/>
      <c r="VMM45" s="987"/>
      <c r="VMN45" s="987"/>
      <c r="VMO45" s="987"/>
      <c r="VMP45" s="987"/>
      <c r="VMQ45" s="987"/>
      <c r="VMR45" s="987"/>
      <c r="VMS45" s="987"/>
      <c r="VMT45" s="987"/>
      <c r="VMU45" s="987"/>
      <c r="VMV45" s="987"/>
      <c r="VMW45" s="987"/>
      <c r="VMX45" s="987"/>
      <c r="VMY45" s="987"/>
      <c r="VMZ45" s="987"/>
      <c r="VNA45" s="987"/>
      <c r="VNB45" s="987"/>
      <c r="VNC45" s="987"/>
      <c r="VND45" s="987"/>
      <c r="VNE45" s="987"/>
      <c r="VNF45" s="987"/>
      <c r="VNG45" s="987"/>
      <c r="VNH45" s="987"/>
      <c r="VNI45" s="987"/>
      <c r="VNJ45" s="987"/>
      <c r="VNK45" s="987"/>
      <c r="VNL45" s="987"/>
      <c r="VNM45" s="987"/>
      <c r="VNN45" s="987"/>
      <c r="VNO45" s="987"/>
      <c r="VNP45" s="987"/>
      <c r="VNQ45" s="987"/>
      <c r="VNR45" s="987"/>
      <c r="VNS45" s="987"/>
      <c r="VNT45" s="987"/>
      <c r="VNU45" s="987"/>
      <c r="VNV45" s="987"/>
      <c r="VNW45" s="987"/>
      <c r="VNX45" s="987"/>
      <c r="VNY45" s="987"/>
      <c r="VNZ45" s="987"/>
      <c r="VOA45" s="987"/>
      <c r="VOB45" s="987"/>
      <c r="VOC45" s="987"/>
      <c r="VOD45" s="987"/>
      <c r="VOE45" s="987"/>
      <c r="VOF45" s="987"/>
      <c r="VOG45" s="987"/>
      <c r="VOH45" s="987"/>
      <c r="VOI45" s="987"/>
      <c r="VOJ45" s="987"/>
      <c r="VOK45" s="987"/>
      <c r="VOL45" s="987"/>
      <c r="VOM45" s="987"/>
      <c r="VON45" s="987"/>
      <c r="VOO45" s="987"/>
      <c r="VOP45" s="987"/>
      <c r="VOQ45" s="987"/>
      <c r="VOR45" s="987"/>
      <c r="VOS45" s="987"/>
      <c r="VOT45" s="987"/>
      <c r="VOU45" s="987"/>
      <c r="VOV45" s="987"/>
      <c r="VOW45" s="987"/>
      <c r="VOX45" s="987"/>
      <c r="VOY45" s="987"/>
      <c r="VOZ45" s="987"/>
      <c r="VPA45" s="987"/>
      <c r="VPB45" s="987"/>
      <c r="VPC45" s="987"/>
      <c r="VPD45" s="987"/>
      <c r="VPE45" s="987"/>
      <c r="VPF45" s="987"/>
      <c r="VPG45" s="987"/>
      <c r="VPH45" s="987"/>
      <c r="VPI45" s="987"/>
      <c r="VPJ45" s="987"/>
      <c r="VPK45" s="987"/>
      <c r="VPL45" s="987"/>
      <c r="VPM45" s="987"/>
      <c r="VPN45" s="987"/>
      <c r="VPO45" s="987"/>
      <c r="VPP45" s="987"/>
      <c r="VPQ45" s="987"/>
      <c r="VPR45" s="987"/>
      <c r="VPS45" s="987"/>
      <c r="VPT45" s="987"/>
      <c r="VPU45" s="987"/>
      <c r="VPV45" s="987"/>
      <c r="VPW45" s="987"/>
      <c r="VPX45" s="987"/>
      <c r="VPY45" s="987"/>
      <c r="VPZ45" s="987"/>
      <c r="VQA45" s="987"/>
      <c r="VQB45" s="987"/>
      <c r="VQC45" s="987"/>
      <c r="VQD45" s="987"/>
      <c r="VQE45" s="987"/>
      <c r="VQF45" s="987"/>
      <c r="VQG45" s="987"/>
      <c r="VQH45" s="987"/>
      <c r="VQI45" s="987"/>
      <c r="VQJ45" s="987"/>
      <c r="VQK45" s="987"/>
      <c r="VQL45" s="987"/>
      <c r="VQM45" s="987"/>
      <c r="VQN45" s="987"/>
      <c r="VQO45" s="987"/>
      <c r="VQP45" s="987"/>
      <c r="VQQ45" s="987"/>
      <c r="VQR45" s="987"/>
      <c r="VQS45" s="987"/>
      <c r="VQT45" s="987"/>
      <c r="VQU45" s="987"/>
      <c r="VQV45" s="987"/>
      <c r="VQW45" s="987"/>
      <c r="VQX45" s="987"/>
      <c r="VQY45" s="987"/>
      <c r="VQZ45" s="987"/>
      <c r="VRA45" s="987"/>
      <c r="VRB45" s="987"/>
      <c r="VRC45" s="987"/>
      <c r="VRD45" s="987"/>
      <c r="VRE45" s="987"/>
      <c r="VRF45" s="987"/>
      <c r="VRG45" s="987"/>
      <c r="VRH45" s="987"/>
      <c r="VRI45" s="987"/>
      <c r="VRJ45" s="987"/>
      <c r="VRK45" s="987"/>
      <c r="VRL45" s="987"/>
      <c r="VRM45" s="987"/>
      <c r="VRN45" s="987"/>
      <c r="VRO45" s="987"/>
      <c r="VRP45" s="987"/>
      <c r="VRQ45" s="987"/>
      <c r="VRR45" s="987"/>
      <c r="VRS45" s="987"/>
      <c r="VRT45" s="987"/>
      <c r="VRU45" s="987"/>
      <c r="VRV45" s="987"/>
      <c r="VRW45" s="987"/>
      <c r="VRX45" s="987"/>
      <c r="VRY45" s="987"/>
      <c r="VRZ45" s="987"/>
      <c r="VSA45" s="987"/>
      <c r="VSB45" s="987"/>
      <c r="VSC45" s="987"/>
      <c r="VSD45" s="987"/>
      <c r="VSE45" s="987"/>
      <c r="VSF45" s="987"/>
      <c r="VSG45" s="987"/>
      <c r="VSH45" s="987"/>
      <c r="VSI45" s="987"/>
      <c r="VSJ45" s="987"/>
      <c r="VSK45" s="987"/>
      <c r="VSL45" s="987"/>
      <c r="VSM45" s="987"/>
      <c r="VSN45" s="987"/>
      <c r="VSO45" s="987"/>
      <c r="VSP45" s="987"/>
      <c r="VSQ45" s="987"/>
      <c r="VSR45" s="987"/>
      <c r="VSS45" s="987"/>
      <c r="VST45" s="987"/>
      <c r="VSU45" s="987"/>
      <c r="VSV45" s="987"/>
      <c r="VSW45" s="987"/>
      <c r="VSX45" s="987"/>
      <c r="VSY45" s="987"/>
      <c r="VSZ45" s="987"/>
      <c r="VTA45" s="987"/>
      <c r="VTB45" s="987"/>
      <c r="VTC45" s="987"/>
      <c r="VTD45" s="987"/>
      <c r="VTE45" s="987"/>
      <c r="VTF45" s="987"/>
      <c r="VTG45" s="987"/>
      <c r="VTH45" s="987"/>
      <c r="VTI45" s="987"/>
      <c r="VTJ45" s="987"/>
      <c r="VTK45" s="987"/>
      <c r="VTL45" s="987"/>
      <c r="VTM45" s="987"/>
      <c r="VTN45" s="987"/>
      <c r="VTO45" s="987"/>
      <c r="VTP45" s="987"/>
      <c r="VTQ45" s="987"/>
      <c r="VTR45" s="987"/>
      <c r="VTS45" s="987"/>
      <c r="VTT45" s="987"/>
      <c r="VTU45" s="987"/>
      <c r="VTV45" s="987"/>
      <c r="VTW45" s="987"/>
      <c r="VTX45" s="987"/>
      <c r="VTY45" s="987"/>
      <c r="VTZ45" s="987"/>
      <c r="VUA45" s="987"/>
      <c r="VUB45" s="987"/>
      <c r="VUC45" s="987"/>
      <c r="VUD45" s="987"/>
      <c r="VUE45" s="987"/>
      <c r="VUF45" s="987"/>
      <c r="VUG45" s="987"/>
      <c r="VUH45" s="987"/>
      <c r="VUI45" s="987"/>
      <c r="VUJ45" s="987"/>
      <c r="VUK45" s="987"/>
      <c r="VUL45" s="987"/>
      <c r="VUM45" s="987"/>
      <c r="VUN45" s="987"/>
      <c r="VUO45" s="987"/>
      <c r="VUP45" s="987"/>
      <c r="VUQ45" s="987"/>
      <c r="VUR45" s="987"/>
      <c r="VUS45" s="987"/>
      <c r="VUT45" s="987"/>
      <c r="VUU45" s="987"/>
      <c r="VUV45" s="987"/>
      <c r="VUW45" s="987"/>
      <c r="VUX45" s="987"/>
      <c r="VUY45" s="987"/>
      <c r="VUZ45" s="987"/>
      <c r="VVA45" s="987"/>
      <c r="VVB45" s="987"/>
      <c r="VVC45" s="987"/>
      <c r="VVD45" s="987"/>
      <c r="VVE45" s="987"/>
      <c r="VVF45" s="987"/>
      <c r="VVG45" s="987"/>
      <c r="VVH45" s="987"/>
      <c r="VVI45" s="987"/>
      <c r="VVJ45" s="987"/>
      <c r="VVK45" s="987"/>
      <c r="VVL45" s="987"/>
      <c r="VVM45" s="987"/>
      <c r="VVN45" s="987"/>
      <c r="VVO45" s="987"/>
      <c r="VVP45" s="987"/>
      <c r="VVQ45" s="987"/>
      <c r="VVR45" s="987"/>
      <c r="VVS45" s="987"/>
      <c r="VVT45" s="987"/>
      <c r="VVU45" s="987"/>
      <c r="VVV45" s="987"/>
      <c r="VVW45" s="987"/>
      <c r="VVX45" s="987"/>
      <c r="VVY45" s="987"/>
      <c r="VVZ45" s="987"/>
      <c r="VWA45" s="987"/>
      <c r="VWB45" s="987"/>
      <c r="VWC45" s="987"/>
      <c r="VWD45" s="987"/>
      <c r="VWE45" s="987"/>
      <c r="VWF45" s="987"/>
      <c r="VWG45" s="987"/>
      <c r="VWH45" s="987"/>
      <c r="VWI45" s="987"/>
      <c r="VWJ45" s="987"/>
      <c r="VWK45" s="987"/>
      <c r="VWL45" s="987"/>
      <c r="VWM45" s="987"/>
      <c r="VWN45" s="987"/>
      <c r="VWO45" s="987"/>
      <c r="VWP45" s="987"/>
      <c r="VWQ45" s="987"/>
      <c r="VWR45" s="987"/>
      <c r="VWS45" s="987"/>
      <c r="VWT45" s="987"/>
      <c r="VWU45" s="987"/>
      <c r="VWV45" s="987"/>
      <c r="VWW45" s="987"/>
      <c r="VWX45" s="987"/>
      <c r="VWY45" s="987"/>
      <c r="VWZ45" s="987"/>
      <c r="VXA45" s="987"/>
      <c r="VXB45" s="987"/>
      <c r="VXC45" s="987"/>
      <c r="VXD45" s="987"/>
      <c r="VXE45" s="987"/>
      <c r="VXF45" s="987"/>
      <c r="VXG45" s="987"/>
      <c r="VXH45" s="987"/>
      <c r="VXI45" s="987"/>
      <c r="VXJ45" s="987"/>
      <c r="VXK45" s="987"/>
      <c r="VXL45" s="987"/>
      <c r="VXM45" s="987"/>
      <c r="VXN45" s="987"/>
      <c r="VXO45" s="987"/>
      <c r="VXP45" s="987"/>
      <c r="VXQ45" s="987"/>
      <c r="VXR45" s="987"/>
      <c r="VXS45" s="987"/>
      <c r="VXT45" s="987"/>
      <c r="VXU45" s="987"/>
      <c r="VXV45" s="987"/>
      <c r="VXW45" s="987"/>
      <c r="VXX45" s="987"/>
      <c r="VXY45" s="987"/>
      <c r="VXZ45" s="987"/>
      <c r="VYA45" s="987"/>
      <c r="VYB45" s="987"/>
      <c r="VYC45" s="987"/>
      <c r="VYD45" s="987"/>
      <c r="VYE45" s="987"/>
      <c r="VYF45" s="987"/>
      <c r="VYG45" s="987"/>
      <c r="VYH45" s="987"/>
      <c r="VYI45" s="987"/>
      <c r="VYJ45" s="987"/>
      <c r="VYK45" s="987"/>
      <c r="VYL45" s="987"/>
      <c r="VYM45" s="987"/>
      <c r="VYN45" s="987"/>
      <c r="VYO45" s="987"/>
      <c r="VYP45" s="987"/>
      <c r="VYQ45" s="987"/>
      <c r="VYR45" s="987"/>
      <c r="VYS45" s="987"/>
      <c r="VYT45" s="987"/>
      <c r="VYU45" s="987"/>
      <c r="VYV45" s="987"/>
      <c r="VYW45" s="987"/>
      <c r="VYX45" s="987"/>
      <c r="VYY45" s="987"/>
      <c r="VYZ45" s="987"/>
      <c r="VZA45" s="987"/>
      <c r="VZB45" s="987"/>
      <c r="VZC45" s="987"/>
      <c r="VZD45" s="987"/>
      <c r="VZE45" s="987"/>
      <c r="VZF45" s="987"/>
      <c r="VZG45" s="987"/>
      <c r="VZH45" s="987"/>
      <c r="VZI45" s="987"/>
      <c r="VZJ45" s="987"/>
      <c r="VZK45" s="987"/>
      <c r="VZL45" s="987"/>
      <c r="VZM45" s="987"/>
      <c r="VZN45" s="987"/>
      <c r="VZO45" s="987"/>
      <c r="VZP45" s="987"/>
      <c r="VZQ45" s="987"/>
      <c r="VZR45" s="987"/>
      <c r="VZS45" s="987"/>
      <c r="VZT45" s="987"/>
      <c r="VZU45" s="987"/>
      <c r="VZV45" s="987"/>
      <c r="VZW45" s="987"/>
      <c r="VZX45" s="987"/>
      <c r="VZY45" s="987"/>
      <c r="VZZ45" s="987"/>
      <c r="WAA45" s="987"/>
      <c r="WAB45" s="987"/>
      <c r="WAC45" s="987"/>
      <c r="WAD45" s="987"/>
      <c r="WAE45" s="987"/>
      <c r="WAF45" s="987"/>
      <c r="WAG45" s="987"/>
      <c r="WAH45" s="987"/>
      <c r="WAI45" s="987"/>
      <c r="WAJ45" s="987"/>
      <c r="WAK45" s="987"/>
      <c r="WAL45" s="987"/>
      <c r="WAM45" s="987"/>
      <c r="WAN45" s="987"/>
      <c r="WAO45" s="987"/>
      <c r="WAP45" s="987"/>
      <c r="WAQ45" s="987"/>
      <c r="WAR45" s="987"/>
      <c r="WAS45" s="987"/>
      <c r="WAT45" s="987"/>
      <c r="WAU45" s="987"/>
      <c r="WAV45" s="987"/>
      <c r="WAW45" s="987"/>
      <c r="WAX45" s="987"/>
      <c r="WAY45" s="987"/>
      <c r="WAZ45" s="987"/>
      <c r="WBA45" s="987"/>
      <c r="WBB45" s="987"/>
      <c r="WBC45" s="987"/>
      <c r="WBD45" s="987"/>
      <c r="WBE45" s="987"/>
      <c r="WBF45" s="987"/>
      <c r="WBG45" s="987"/>
      <c r="WBH45" s="987"/>
      <c r="WBI45" s="987"/>
      <c r="WBJ45" s="987"/>
      <c r="WBK45" s="987"/>
      <c r="WBL45" s="987"/>
      <c r="WBM45" s="987"/>
      <c r="WBN45" s="987"/>
      <c r="WBO45" s="987"/>
      <c r="WBP45" s="987"/>
      <c r="WBQ45" s="987"/>
      <c r="WBR45" s="987"/>
      <c r="WBS45" s="987"/>
      <c r="WBT45" s="987"/>
      <c r="WBU45" s="987"/>
      <c r="WBV45" s="987"/>
      <c r="WBW45" s="987"/>
      <c r="WBX45" s="987"/>
      <c r="WBY45" s="987"/>
      <c r="WBZ45" s="987"/>
      <c r="WCA45" s="987"/>
      <c r="WCB45" s="987"/>
      <c r="WCC45" s="987"/>
      <c r="WCD45" s="987"/>
      <c r="WCE45" s="987"/>
      <c r="WCF45" s="987"/>
      <c r="WCG45" s="987"/>
      <c r="WCH45" s="987"/>
      <c r="WCI45" s="987"/>
      <c r="WCJ45" s="987"/>
      <c r="WCK45" s="987"/>
      <c r="WCL45" s="987"/>
      <c r="WCM45" s="987"/>
      <c r="WCN45" s="987"/>
      <c r="WCO45" s="987"/>
      <c r="WCP45" s="987"/>
      <c r="WCQ45" s="987"/>
      <c r="WCR45" s="987"/>
      <c r="WCS45" s="987"/>
      <c r="WCT45" s="987"/>
      <c r="WCU45" s="987"/>
      <c r="WCV45" s="987"/>
      <c r="WCW45" s="987"/>
      <c r="WCX45" s="987"/>
      <c r="WCY45" s="987"/>
      <c r="WCZ45" s="987"/>
      <c r="WDA45" s="987"/>
      <c r="WDB45" s="987"/>
      <c r="WDC45" s="987"/>
      <c r="WDD45" s="987"/>
      <c r="WDE45" s="987"/>
      <c r="WDF45" s="987"/>
      <c r="WDG45" s="987"/>
      <c r="WDH45" s="987"/>
      <c r="WDI45" s="987"/>
      <c r="WDJ45" s="987"/>
      <c r="WDK45" s="987"/>
      <c r="WDL45" s="987"/>
      <c r="WDM45" s="987"/>
      <c r="WDN45" s="987"/>
      <c r="WDO45" s="987"/>
      <c r="WDP45" s="987"/>
      <c r="WDQ45" s="987"/>
      <c r="WDR45" s="987"/>
      <c r="WDS45" s="987"/>
      <c r="WDT45" s="987"/>
      <c r="WDU45" s="987"/>
      <c r="WDV45" s="987"/>
      <c r="WDW45" s="987"/>
      <c r="WDX45" s="987"/>
      <c r="WDY45" s="987"/>
      <c r="WDZ45" s="987"/>
      <c r="WEA45" s="987"/>
      <c r="WEB45" s="987"/>
      <c r="WEC45" s="987"/>
      <c r="WED45" s="987"/>
      <c r="WEE45" s="987"/>
      <c r="WEF45" s="987"/>
      <c r="WEG45" s="987"/>
      <c r="WEH45" s="987"/>
      <c r="WEI45" s="987"/>
      <c r="WEJ45" s="987"/>
      <c r="WEK45" s="987"/>
      <c r="WEL45" s="987"/>
      <c r="WEM45" s="987"/>
      <c r="WEN45" s="987"/>
      <c r="WEO45" s="987"/>
      <c r="WEP45" s="987"/>
      <c r="WEQ45" s="987"/>
      <c r="WER45" s="987"/>
      <c r="WES45" s="987"/>
      <c r="WET45" s="987"/>
      <c r="WEU45" s="987"/>
      <c r="WEV45" s="987"/>
      <c r="WEW45" s="987"/>
      <c r="WEX45" s="987"/>
      <c r="WEY45" s="987"/>
      <c r="WEZ45" s="987"/>
      <c r="WFA45" s="987"/>
      <c r="WFB45" s="987"/>
      <c r="WFC45" s="987"/>
      <c r="WFD45" s="987"/>
      <c r="WFE45" s="987"/>
      <c r="WFF45" s="987"/>
      <c r="WFG45" s="987"/>
      <c r="WFH45" s="987"/>
      <c r="WFI45" s="987"/>
      <c r="WFJ45" s="987"/>
      <c r="WFK45" s="987"/>
      <c r="WFL45" s="987"/>
      <c r="WFM45" s="987"/>
      <c r="WFN45" s="987"/>
      <c r="WFO45" s="987"/>
      <c r="WFP45" s="987"/>
      <c r="WFQ45" s="987"/>
      <c r="WFR45" s="987"/>
      <c r="WFS45" s="987"/>
      <c r="WFT45" s="987"/>
      <c r="WFU45" s="987"/>
      <c r="WFV45" s="987"/>
      <c r="WFW45" s="987"/>
      <c r="WFX45" s="987"/>
      <c r="WFY45" s="987"/>
      <c r="WFZ45" s="987"/>
      <c r="WGA45" s="987"/>
      <c r="WGB45" s="987"/>
      <c r="WGC45" s="987"/>
      <c r="WGD45" s="987"/>
      <c r="WGE45" s="987"/>
      <c r="WGF45" s="987"/>
      <c r="WGG45" s="987"/>
      <c r="WGH45" s="987"/>
      <c r="WGI45" s="987"/>
      <c r="WGJ45" s="987"/>
      <c r="WGK45" s="987"/>
      <c r="WGL45" s="987"/>
      <c r="WGM45" s="987"/>
      <c r="WGN45" s="987"/>
      <c r="WGO45" s="987"/>
      <c r="WGP45" s="987"/>
      <c r="WGQ45" s="987"/>
      <c r="WGR45" s="987"/>
      <c r="WGS45" s="987"/>
      <c r="WGT45" s="987"/>
      <c r="WGU45" s="987"/>
      <c r="WGV45" s="987"/>
      <c r="WGW45" s="987"/>
      <c r="WGX45" s="987"/>
      <c r="WGY45" s="987"/>
      <c r="WGZ45" s="987"/>
      <c r="WHA45" s="987"/>
      <c r="WHB45" s="987"/>
      <c r="WHC45" s="987"/>
      <c r="WHD45" s="987"/>
      <c r="WHE45" s="987"/>
      <c r="WHF45" s="987"/>
      <c r="WHG45" s="987"/>
      <c r="WHH45" s="987"/>
      <c r="WHI45" s="987"/>
      <c r="WHJ45" s="987"/>
      <c r="WHK45" s="987"/>
      <c r="WHL45" s="987"/>
      <c r="WHM45" s="987"/>
      <c r="WHN45" s="987"/>
      <c r="WHO45" s="987"/>
      <c r="WHP45" s="987"/>
      <c r="WHQ45" s="987"/>
      <c r="WHR45" s="987"/>
      <c r="WHS45" s="987"/>
      <c r="WHT45" s="987"/>
      <c r="WHU45" s="987"/>
      <c r="WHV45" s="987"/>
      <c r="WHW45" s="987"/>
      <c r="WHX45" s="987"/>
      <c r="WHY45" s="987"/>
      <c r="WHZ45" s="987"/>
      <c r="WIA45" s="987"/>
      <c r="WIB45" s="987"/>
      <c r="WIC45" s="987"/>
      <c r="WID45" s="987"/>
      <c r="WIE45" s="987"/>
      <c r="WIF45" s="987"/>
      <c r="WIG45" s="987"/>
      <c r="WIH45" s="987"/>
      <c r="WII45" s="987"/>
      <c r="WIJ45" s="987"/>
      <c r="WIK45" s="987"/>
      <c r="WIL45" s="987"/>
      <c r="WIM45" s="987"/>
      <c r="WIN45" s="987"/>
      <c r="WIO45" s="987"/>
      <c r="WIP45" s="987"/>
      <c r="WIQ45" s="987"/>
      <c r="WIR45" s="987"/>
      <c r="WIS45" s="987"/>
      <c r="WIT45" s="987"/>
      <c r="WIU45" s="987"/>
      <c r="WIV45" s="987"/>
      <c r="WIW45" s="987"/>
      <c r="WIX45" s="987"/>
      <c r="WIY45" s="987"/>
      <c r="WIZ45" s="987"/>
      <c r="WJA45" s="987"/>
      <c r="WJB45" s="987"/>
      <c r="WJC45" s="987"/>
      <c r="WJD45" s="987"/>
      <c r="WJE45" s="987"/>
      <c r="WJF45" s="987"/>
      <c r="WJG45" s="987"/>
      <c r="WJH45" s="987"/>
      <c r="WJI45" s="987"/>
      <c r="WJJ45" s="987"/>
      <c r="WJK45" s="987"/>
      <c r="WJL45" s="987"/>
      <c r="WJM45" s="987"/>
      <c r="WJN45" s="987"/>
      <c r="WJO45" s="987"/>
      <c r="WJP45" s="987"/>
      <c r="WJQ45" s="987"/>
      <c r="WJR45" s="987"/>
      <c r="WJS45" s="987"/>
      <c r="WJT45" s="987"/>
      <c r="WJU45" s="987"/>
      <c r="WJV45" s="987"/>
      <c r="WJW45" s="987"/>
      <c r="WJX45" s="987"/>
      <c r="WJY45" s="987"/>
      <c r="WJZ45" s="987"/>
      <c r="WKA45" s="987"/>
      <c r="WKB45" s="987"/>
      <c r="WKC45" s="987"/>
      <c r="WKD45" s="987"/>
      <c r="WKE45" s="987"/>
      <c r="WKF45" s="987"/>
      <c r="WKG45" s="987"/>
      <c r="WKH45" s="987"/>
      <c r="WKI45" s="987"/>
      <c r="WKJ45" s="987"/>
      <c r="WKK45" s="987"/>
      <c r="WKL45" s="987"/>
      <c r="WKM45" s="987"/>
      <c r="WKN45" s="987"/>
      <c r="WKO45" s="987"/>
      <c r="WKP45" s="987"/>
      <c r="WKQ45" s="987"/>
      <c r="WKR45" s="987"/>
      <c r="WKS45" s="987"/>
      <c r="WKT45" s="987"/>
      <c r="WKU45" s="987"/>
      <c r="WKV45" s="987"/>
      <c r="WKW45" s="987"/>
      <c r="WKX45" s="987"/>
      <c r="WKY45" s="987"/>
      <c r="WKZ45" s="987"/>
      <c r="WLA45" s="987"/>
      <c r="WLB45" s="987"/>
      <c r="WLC45" s="987"/>
      <c r="WLD45" s="987"/>
      <c r="WLE45" s="987"/>
      <c r="WLF45" s="987"/>
      <c r="WLG45" s="987"/>
      <c r="WLH45" s="987"/>
      <c r="WLI45" s="987"/>
      <c r="WLJ45" s="987"/>
      <c r="WLK45" s="987"/>
      <c r="WLL45" s="987"/>
      <c r="WLM45" s="987"/>
      <c r="WLN45" s="987"/>
      <c r="WLO45" s="987"/>
      <c r="WLP45" s="987"/>
      <c r="WLQ45" s="987"/>
      <c r="WLR45" s="987"/>
      <c r="WLS45" s="987"/>
      <c r="WLT45" s="987"/>
      <c r="WLU45" s="987"/>
      <c r="WLV45" s="987"/>
      <c r="WLW45" s="987"/>
      <c r="WLX45" s="987"/>
      <c r="WLY45" s="987"/>
      <c r="WLZ45" s="987"/>
      <c r="WMA45" s="987"/>
      <c r="WMB45" s="987"/>
      <c r="WMC45" s="987"/>
      <c r="WMD45" s="987"/>
      <c r="WME45" s="987"/>
      <c r="WMF45" s="987"/>
      <c r="WMG45" s="987"/>
      <c r="WMH45" s="987"/>
      <c r="WMI45" s="987"/>
      <c r="WMJ45" s="987"/>
      <c r="WMK45" s="987"/>
      <c r="WML45" s="987"/>
      <c r="WMM45" s="987"/>
      <c r="WMN45" s="987"/>
      <c r="WMO45" s="987"/>
      <c r="WMP45" s="987"/>
      <c r="WMQ45" s="987"/>
      <c r="WMR45" s="987"/>
      <c r="WMS45" s="987"/>
      <c r="WMT45" s="987"/>
      <c r="WMU45" s="987"/>
      <c r="WMV45" s="987"/>
      <c r="WMW45" s="987"/>
      <c r="WMX45" s="987"/>
      <c r="WMY45" s="987"/>
      <c r="WMZ45" s="987"/>
      <c r="WNA45" s="987"/>
      <c r="WNB45" s="987"/>
      <c r="WNC45" s="987"/>
      <c r="WND45" s="987"/>
      <c r="WNE45" s="987"/>
      <c r="WNF45" s="987"/>
      <c r="WNG45" s="987"/>
      <c r="WNH45" s="987"/>
      <c r="WNI45" s="987"/>
      <c r="WNJ45" s="987"/>
      <c r="WNK45" s="987"/>
      <c r="WNL45" s="987"/>
      <c r="WNM45" s="987"/>
      <c r="WNN45" s="987"/>
      <c r="WNO45" s="987"/>
      <c r="WNP45" s="987"/>
      <c r="WNQ45" s="987"/>
      <c r="WNR45" s="987"/>
      <c r="WNS45" s="987"/>
      <c r="WNT45" s="987"/>
      <c r="WNU45" s="987"/>
      <c r="WNV45" s="987"/>
      <c r="WNW45" s="987"/>
      <c r="WNX45" s="987"/>
      <c r="WNY45" s="987"/>
      <c r="WNZ45" s="987"/>
      <c r="WOA45" s="987"/>
      <c r="WOB45" s="987"/>
      <c r="WOC45" s="987"/>
      <c r="WOD45" s="987"/>
      <c r="WOE45" s="987"/>
      <c r="WOF45" s="987"/>
      <c r="WOG45" s="987"/>
      <c r="WOH45" s="987"/>
      <c r="WOI45" s="987"/>
      <c r="WOJ45" s="987"/>
      <c r="WOK45" s="987"/>
      <c r="WOL45" s="987"/>
      <c r="WOM45" s="987"/>
      <c r="WON45" s="987"/>
      <c r="WOO45" s="987"/>
      <c r="WOP45" s="987"/>
      <c r="WOQ45" s="987"/>
      <c r="WOR45" s="987"/>
      <c r="WOS45" s="987"/>
      <c r="WOT45" s="987"/>
      <c r="WOU45" s="987"/>
      <c r="WOV45" s="987"/>
      <c r="WOW45" s="987"/>
      <c r="WOX45" s="987"/>
      <c r="WOY45" s="987"/>
      <c r="WOZ45" s="987"/>
      <c r="WPA45" s="987"/>
      <c r="WPB45" s="987"/>
      <c r="WPC45" s="987"/>
      <c r="WPD45" s="987"/>
      <c r="WPE45" s="987"/>
      <c r="WPF45" s="987"/>
      <c r="WPG45" s="987"/>
      <c r="WPH45" s="987"/>
      <c r="WPI45" s="987"/>
      <c r="WPJ45" s="987"/>
      <c r="WPK45" s="987"/>
      <c r="WPL45" s="987"/>
      <c r="WPM45" s="987"/>
      <c r="WPN45" s="987"/>
      <c r="WPO45" s="987"/>
      <c r="WPP45" s="987"/>
      <c r="WPQ45" s="987"/>
      <c r="WPR45" s="987"/>
      <c r="WPS45" s="987"/>
      <c r="WPT45" s="987"/>
      <c r="WPU45" s="987"/>
      <c r="WPV45" s="987"/>
      <c r="WPW45" s="987"/>
      <c r="WPX45" s="987"/>
      <c r="WPY45" s="987"/>
      <c r="WPZ45" s="987"/>
      <c r="WQA45" s="987"/>
      <c r="WQB45" s="987"/>
      <c r="WQC45" s="987"/>
      <c r="WQD45" s="987"/>
      <c r="WQE45" s="987"/>
      <c r="WQF45" s="987"/>
      <c r="WQG45" s="987"/>
      <c r="WQH45" s="987"/>
      <c r="WQI45" s="987"/>
      <c r="WQJ45" s="987"/>
      <c r="WQK45" s="987"/>
      <c r="WQL45" s="987"/>
      <c r="WQM45" s="987"/>
      <c r="WQN45" s="987"/>
      <c r="WQO45" s="987"/>
      <c r="WQP45" s="987"/>
      <c r="WQQ45" s="987"/>
      <c r="WQR45" s="987"/>
      <c r="WQS45" s="987"/>
      <c r="WQT45" s="987"/>
      <c r="WQU45" s="987"/>
      <c r="WQV45" s="987"/>
      <c r="WQW45" s="987"/>
      <c r="WQX45" s="987"/>
      <c r="WQY45" s="987"/>
      <c r="WQZ45" s="987"/>
      <c r="WRA45" s="987"/>
      <c r="WRB45" s="987"/>
      <c r="WRC45" s="987"/>
      <c r="WRD45" s="987"/>
      <c r="WRE45" s="987"/>
      <c r="WRF45" s="987"/>
      <c r="WRG45" s="987"/>
      <c r="WRH45" s="987"/>
      <c r="WRI45" s="987"/>
      <c r="WRJ45" s="987"/>
      <c r="WRK45" s="987"/>
      <c r="WRL45" s="987"/>
      <c r="WRM45" s="987"/>
      <c r="WRN45" s="987"/>
      <c r="WRO45" s="987"/>
      <c r="WRP45" s="987"/>
      <c r="WRQ45" s="987"/>
      <c r="WRR45" s="987"/>
      <c r="WRS45" s="987"/>
      <c r="WRT45" s="987"/>
      <c r="WRU45" s="987"/>
      <c r="WRV45" s="987"/>
      <c r="WRW45" s="987"/>
      <c r="WRX45" s="987"/>
      <c r="WRY45" s="987"/>
      <c r="WRZ45" s="987"/>
      <c r="WSA45" s="987"/>
      <c r="WSB45" s="987"/>
      <c r="WSC45" s="987"/>
      <c r="WSD45" s="987"/>
      <c r="WSE45" s="987"/>
      <c r="WSF45" s="987"/>
      <c r="WSG45" s="987"/>
      <c r="WSH45" s="987"/>
      <c r="WSI45" s="987"/>
      <c r="WSJ45" s="987"/>
      <c r="WSK45" s="987"/>
      <c r="WSL45" s="987"/>
      <c r="WSM45" s="987"/>
      <c r="WSN45" s="987"/>
      <c r="WSO45" s="987"/>
      <c r="WSP45" s="987"/>
      <c r="WSQ45" s="987"/>
      <c r="WSR45" s="987"/>
      <c r="WSS45" s="987"/>
      <c r="WST45" s="987"/>
      <c r="WSU45" s="987"/>
      <c r="WSV45" s="987"/>
      <c r="WSW45" s="987"/>
      <c r="WSX45" s="987"/>
      <c r="WSY45" s="987"/>
      <c r="WSZ45" s="987"/>
      <c r="WTA45" s="987"/>
      <c r="WTB45" s="987"/>
      <c r="WTC45" s="987"/>
      <c r="WTD45" s="987"/>
      <c r="WTE45" s="987"/>
      <c r="WTF45" s="987"/>
      <c r="WTG45" s="987"/>
      <c r="WTH45" s="987"/>
      <c r="WTI45" s="987"/>
      <c r="WTJ45" s="987"/>
      <c r="WTK45" s="987"/>
      <c r="WTL45" s="987"/>
      <c r="WTM45" s="987"/>
      <c r="WTN45" s="987"/>
      <c r="WTO45" s="987"/>
      <c r="WTP45" s="987"/>
      <c r="WTQ45" s="987"/>
      <c r="WTR45" s="987"/>
      <c r="WTS45" s="987"/>
      <c r="WTT45" s="987"/>
      <c r="WTU45" s="987"/>
      <c r="WTV45" s="987"/>
      <c r="WTW45" s="987"/>
      <c r="WTX45" s="987"/>
      <c r="WTY45" s="987"/>
      <c r="WTZ45" s="987"/>
      <c r="WUA45" s="987"/>
      <c r="WUB45" s="987"/>
      <c r="WUC45" s="987"/>
      <c r="WUD45" s="987"/>
      <c r="WUE45" s="987"/>
      <c r="WUF45" s="987"/>
      <c r="WUG45" s="987"/>
      <c r="WUH45" s="987"/>
      <c r="WUI45" s="987"/>
      <c r="WUJ45" s="987"/>
      <c r="WUK45" s="987"/>
      <c r="WUL45" s="987"/>
      <c r="WUM45" s="987"/>
      <c r="WUN45" s="987"/>
      <c r="WUO45" s="987"/>
      <c r="WUP45" s="987"/>
      <c r="WUQ45" s="987"/>
      <c r="WUR45" s="987"/>
      <c r="WUS45" s="987"/>
      <c r="WUT45" s="987"/>
      <c r="WUU45" s="987"/>
      <c r="WUV45" s="987"/>
      <c r="WUW45" s="987"/>
      <c r="WUX45" s="987"/>
      <c r="WUY45" s="987"/>
      <c r="WUZ45" s="987"/>
      <c r="WVA45" s="987"/>
      <c r="WVB45" s="987"/>
      <c r="WVC45" s="987"/>
      <c r="WVD45" s="987"/>
      <c r="WVE45" s="987"/>
      <c r="WVF45" s="987"/>
      <c r="WVG45" s="987"/>
      <c r="WVH45" s="987"/>
      <c r="WVI45" s="987"/>
      <c r="WVJ45" s="987"/>
      <c r="WVK45" s="987"/>
      <c r="WVL45" s="987"/>
      <c r="WVM45" s="987"/>
      <c r="WVN45" s="987"/>
      <c r="WVO45" s="987"/>
      <c r="WVP45" s="987"/>
      <c r="WVQ45" s="987"/>
      <c r="WVR45" s="987"/>
      <c r="WVS45" s="987"/>
      <c r="WVT45" s="987"/>
      <c r="WVU45" s="987"/>
      <c r="WVV45" s="987"/>
      <c r="WVW45" s="987"/>
      <c r="WVX45" s="987"/>
      <c r="WVY45" s="987"/>
      <c r="WVZ45" s="987"/>
      <c r="WWA45" s="987"/>
      <c r="WWB45" s="987"/>
      <c r="WWC45" s="987"/>
      <c r="WWD45" s="987"/>
      <c r="WWE45" s="987"/>
      <c r="WWF45" s="987"/>
      <c r="WWG45" s="987"/>
      <c r="WWH45" s="987"/>
      <c r="WWI45" s="987"/>
      <c r="WWJ45" s="987"/>
      <c r="WWK45" s="987"/>
      <c r="WWL45" s="987"/>
      <c r="WWM45" s="987"/>
      <c r="WWN45" s="987"/>
      <c r="WWO45" s="987"/>
      <c r="WWP45" s="987"/>
      <c r="WWQ45" s="987"/>
      <c r="WWR45" s="987"/>
      <c r="WWS45" s="987"/>
      <c r="WWT45" s="987"/>
      <c r="WWU45" s="987"/>
      <c r="WWV45" s="987"/>
      <c r="WWW45" s="987"/>
      <c r="WWX45" s="987"/>
      <c r="WWY45" s="987"/>
      <c r="WWZ45" s="987"/>
      <c r="WXA45" s="987"/>
      <c r="WXB45" s="987"/>
      <c r="WXC45" s="987"/>
      <c r="WXD45" s="987"/>
      <c r="WXE45" s="987"/>
      <c r="WXF45" s="987"/>
      <c r="WXG45" s="987"/>
      <c r="WXH45" s="987"/>
      <c r="WXI45" s="987"/>
      <c r="WXJ45" s="987"/>
      <c r="WXK45" s="987"/>
      <c r="WXL45" s="987"/>
      <c r="WXM45" s="987"/>
      <c r="WXN45" s="987"/>
      <c r="WXO45" s="987"/>
      <c r="WXP45" s="987"/>
      <c r="WXQ45" s="987"/>
      <c r="WXR45" s="987"/>
      <c r="WXS45" s="987"/>
      <c r="WXT45" s="987"/>
      <c r="WXU45" s="987"/>
      <c r="WXV45" s="987"/>
      <c r="WXW45" s="987"/>
      <c r="WXX45" s="987"/>
      <c r="WXY45" s="987"/>
      <c r="WXZ45" s="987"/>
      <c r="WYA45" s="987"/>
      <c r="WYB45" s="987"/>
      <c r="WYC45" s="987"/>
      <c r="WYD45" s="987"/>
      <c r="WYE45" s="987"/>
      <c r="WYF45" s="987"/>
      <c r="WYG45" s="987"/>
      <c r="WYH45" s="987"/>
      <c r="WYI45" s="987"/>
      <c r="WYJ45" s="987"/>
      <c r="WYK45" s="987"/>
      <c r="WYL45" s="987"/>
      <c r="WYM45" s="987"/>
      <c r="WYN45" s="987"/>
      <c r="WYO45" s="987"/>
      <c r="WYP45" s="987"/>
      <c r="WYQ45" s="987"/>
      <c r="WYR45" s="987"/>
      <c r="WYS45" s="987"/>
      <c r="WYT45" s="987"/>
      <c r="WYU45" s="987"/>
      <c r="WYV45" s="987"/>
      <c r="WYW45" s="987"/>
      <c r="WYX45" s="987"/>
      <c r="WYY45" s="987"/>
      <c r="WYZ45" s="987"/>
      <c r="WZA45" s="987"/>
      <c r="WZB45" s="987"/>
      <c r="WZC45" s="987"/>
      <c r="WZD45" s="987"/>
      <c r="WZE45" s="987"/>
      <c r="WZF45" s="987"/>
      <c r="WZG45" s="987"/>
      <c r="WZH45" s="987"/>
      <c r="WZI45" s="987"/>
      <c r="WZJ45" s="987"/>
      <c r="WZK45" s="987"/>
      <c r="WZL45" s="987"/>
      <c r="WZM45" s="987"/>
      <c r="WZN45" s="987"/>
      <c r="WZO45" s="987"/>
      <c r="WZP45" s="987"/>
      <c r="WZQ45" s="987"/>
      <c r="WZR45" s="987"/>
      <c r="WZS45" s="987"/>
      <c r="WZT45" s="987"/>
      <c r="WZU45" s="987"/>
      <c r="WZV45" s="987"/>
      <c r="WZW45" s="987"/>
      <c r="WZX45" s="987"/>
      <c r="WZY45" s="987"/>
      <c r="WZZ45" s="987"/>
      <c r="XAA45" s="987"/>
      <c r="XAB45" s="987"/>
      <c r="XAC45" s="987"/>
      <c r="XAD45" s="987"/>
      <c r="XAE45" s="987"/>
      <c r="XAF45" s="987"/>
      <c r="XAG45" s="987"/>
      <c r="XAH45" s="987"/>
      <c r="XAI45" s="987"/>
      <c r="XAJ45" s="987"/>
      <c r="XAK45" s="987"/>
      <c r="XAL45" s="987"/>
      <c r="XAM45" s="987"/>
      <c r="XAN45" s="987"/>
      <c r="XAO45" s="987"/>
      <c r="XAP45" s="987"/>
      <c r="XAQ45" s="987"/>
      <c r="XAR45" s="987"/>
      <c r="XAS45" s="987"/>
      <c r="XAT45" s="987"/>
      <c r="XAU45" s="987"/>
      <c r="XAV45" s="987"/>
      <c r="XAW45" s="987"/>
      <c r="XAX45" s="987"/>
      <c r="XAY45" s="987"/>
      <c r="XAZ45" s="987"/>
      <c r="XBA45" s="987"/>
      <c r="XBB45" s="987"/>
      <c r="XBC45" s="987"/>
      <c r="XBD45" s="987"/>
      <c r="XBE45" s="987"/>
      <c r="XBF45" s="987"/>
      <c r="XBG45" s="987"/>
      <c r="XBH45" s="987"/>
      <c r="XBI45" s="987"/>
      <c r="XBJ45" s="987"/>
      <c r="XBK45" s="987"/>
      <c r="XBL45" s="987"/>
      <c r="XBM45" s="987"/>
      <c r="XBN45" s="987"/>
      <c r="XBO45" s="987"/>
      <c r="XBP45" s="987"/>
      <c r="XBQ45" s="987"/>
      <c r="XBR45" s="987"/>
      <c r="XBS45" s="987"/>
      <c r="XBT45" s="987"/>
      <c r="XBU45" s="987"/>
      <c r="XBV45" s="987"/>
      <c r="XBW45" s="987"/>
      <c r="XBX45" s="987"/>
      <c r="XBY45" s="987"/>
      <c r="XBZ45" s="987"/>
      <c r="XCA45" s="987"/>
      <c r="XCB45" s="987"/>
      <c r="XCC45" s="987"/>
      <c r="XCD45" s="987"/>
      <c r="XCE45" s="987"/>
      <c r="XCF45" s="987"/>
      <c r="XCG45" s="987"/>
      <c r="XCH45" s="987"/>
      <c r="XCI45" s="987"/>
      <c r="XCJ45" s="987"/>
      <c r="XCK45" s="987"/>
      <c r="XCL45" s="987"/>
      <c r="XCM45" s="987"/>
      <c r="XCN45" s="987"/>
      <c r="XCO45" s="987"/>
      <c r="XCP45" s="987"/>
      <c r="XCQ45" s="987"/>
      <c r="XCR45" s="987"/>
      <c r="XCS45" s="987"/>
      <c r="XCT45" s="987"/>
      <c r="XCU45" s="987"/>
      <c r="XCV45" s="987"/>
      <c r="XCW45" s="987"/>
      <c r="XCX45" s="987"/>
      <c r="XCY45" s="987"/>
      <c r="XCZ45" s="987"/>
      <c r="XDA45" s="987"/>
      <c r="XDB45" s="987"/>
      <c r="XDC45" s="987"/>
      <c r="XDD45" s="987"/>
      <c r="XDE45" s="987"/>
      <c r="XDF45" s="987"/>
      <c r="XDG45" s="987"/>
      <c r="XDH45" s="987"/>
      <c r="XDI45" s="987"/>
      <c r="XDJ45" s="987"/>
      <c r="XDK45" s="987"/>
      <c r="XDL45" s="987"/>
      <c r="XDM45" s="987"/>
      <c r="XDN45" s="987"/>
      <c r="XDO45" s="987"/>
      <c r="XDP45" s="987"/>
      <c r="XDQ45" s="987"/>
      <c r="XDR45" s="987"/>
      <c r="XDS45" s="987"/>
      <c r="XDT45" s="987"/>
      <c r="XDU45" s="987"/>
      <c r="XDV45" s="987"/>
      <c r="XDW45" s="987"/>
      <c r="XDX45" s="987"/>
      <c r="XDY45" s="987"/>
      <c r="XDZ45" s="987"/>
      <c r="XEA45" s="987"/>
      <c r="XEB45" s="987"/>
      <c r="XEC45" s="987"/>
    </row>
    <row r="46" spans="1:16357" ht="68.25" customHeight="1">
      <c r="A46" s="117" t="s">
        <v>106</v>
      </c>
      <c r="B46" s="122" t="s">
        <v>107</v>
      </c>
      <c r="C46" s="118"/>
      <c r="D46" s="118"/>
      <c r="E46" s="118"/>
      <c r="F46" s="118"/>
      <c r="G46" s="118"/>
      <c r="H46" s="118"/>
      <c r="I46" s="118"/>
      <c r="J46" s="118"/>
      <c r="K46" s="118"/>
      <c r="L46" s="118"/>
      <c r="M46" s="118"/>
      <c r="N46" s="118"/>
      <c r="O46" s="117"/>
      <c r="P46" s="117"/>
      <c r="Q46" s="117"/>
      <c r="R46" s="117"/>
      <c r="S46" s="987"/>
      <c r="T46" s="987"/>
      <c r="U46" s="987"/>
      <c r="V46" s="987"/>
      <c r="W46" s="987"/>
      <c r="X46" s="987"/>
      <c r="Y46" s="987"/>
      <c r="Z46" s="987"/>
      <c r="AA46" s="987"/>
      <c r="AB46" s="987"/>
      <c r="AC46" s="987"/>
      <c r="AD46" s="987"/>
      <c r="AE46" s="987"/>
      <c r="AF46" s="987"/>
      <c r="AG46" s="987"/>
      <c r="AH46" s="7"/>
      <c r="AI46" s="35"/>
      <c r="AJ46" s="7"/>
      <c r="AK46" s="99"/>
      <c r="AL46" s="5"/>
      <c r="AM46" s="190"/>
      <c r="AN46" s="190"/>
      <c r="AO46" s="190"/>
      <c r="AP46" s="190"/>
      <c r="AQ46" s="190"/>
      <c r="AR46" s="190"/>
      <c r="AS46" s="190"/>
      <c r="AT46" s="190"/>
      <c r="AU46" s="190"/>
      <c r="AV46" s="190"/>
      <c r="AW46" s="190"/>
      <c r="AX46" s="987"/>
      <c r="AY46" s="987"/>
      <c r="AZ46" s="987"/>
      <c r="BA46" s="987"/>
      <c r="BB46" s="987"/>
      <c r="BC46" s="987"/>
      <c r="BD46" s="987"/>
      <c r="BE46" s="987"/>
      <c r="BF46" s="987"/>
      <c r="BG46" s="987"/>
      <c r="BH46" s="987"/>
      <c r="BI46" s="987"/>
      <c r="BJ46" s="987"/>
      <c r="BK46" s="987"/>
      <c r="BL46" s="987"/>
      <c r="BM46" s="987"/>
      <c r="BN46" s="987"/>
      <c r="BO46" s="987"/>
      <c r="BP46" s="987"/>
      <c r="BQ46" s="987"/>
      <c r="BR46" s="987"/>
      <c r="BS46" s="987"/>
      <c r="BT46" s="987"/>
      <c r="BU46" s="987"/>
      <c r="BV46" s="190"/>
      <c r="BW46" s="190"/>
      <c r="BX46" s="190"/>
      <c r="BY46" s="987"/>
      <c r="BZ46" s="987"/>
      <c r="CA46" s="987"/>
      <c r="CB46" s="987"/>
      <c r="CC46" s="987"/>
      <c r="CD46" s="987"/>
      <c r="CE46" s="987"/>
      <c r="CF46" s="987"/>
      <c r="CG46" s="987"/>
      <c r="CH46" s="987"/>
      <c r="CI46" s="987"/>
      <c r="CJ46" s="987"/>
      <c r="CK46" s="987"/>
      <c r="CL46" s="987"/>
      <c r="CM46" s="987"/>
      <c r="CN46" s="987"/>
      <c r="CO46" s="987"/>
      <c r="CP46" s="987"/>
      <c r="CQ46" s="987"/>
      <c r="CR46" s="987"/>
      <c r="CS46" s="987"/>
      <c r="CT46" s="987"/>
      <c r="CU46" s="987"/>
      <c r="CV46" s="987"/>
      <c r="CW46" s="987"/>
      <c r="CX46" s="987"/>
      <c r="CY46" s="987"/>
      <c r="CZ46" s="987"/>
      <c r="DA46" s="987"/>
      <c r="DB46" s="987"/>
      <c r="DC46" s="987"/>
      <c r="DD46" s="987"/>
      <c r="DE46" s="987"/>
      <c r="DF46" s="987"/>
      <c r="DG46" s="987"/>
      <c r="DH46" s="987"/>
      <c r="DI46" s="987"/>
      <c r="DJ46" s="987"/>
      <c r="DK46" s="987"/>
      <c r="DL46" s="987"/>
      <c r="DM46" s="987"/>
      <c r="DN46" s="987"/>
      <c r="DO46" s="987"/>
      <c r="DP46" s="987"/>
      <c r="DQ46" s="987"/>
      <c r="DR46" s="987"/>
      <c r="DS46" s="987"/>
      <c r="DT46" s="987"/>
      <c r="DU46" s="987"/>
      <c r="DV46" s="987"/>
      <c r="DW46" s="987"/>
      <c r="DX46" s="987"/>
      <c r="DY46" s="987"/>
      <c r="DZ46" s="987"/>
      <c r="EA46" s="987"/>
      <c r="EB46" s="987"/>
      <c r="EC46" s="987"/>
      <c r="ED46" s="987"/>
      <c r="EE46" s="987"/>
      <c r="EF46" s="987"/>
      <c r="EG46" s="987"/>
      <c r="EH46" s="987"/>
      <c r="EI46" s="987"/>
      <c r="EJ46" s="987"/>
      <c r="EK46" s="987"/>
      <c r="EL46" s="987"/>
      <c r="EM46" s="987"/>
      <c r="EN46" s="987"/>
      <c r="EO46" s="987"/>
      <c r="EP46" s="987"/>
      <c r="EQ46" s="987"/>
      <c r="ER46" s="987"/>
      <c r="ES46" s="987"/>
      <c r="ET46" s="987"/>
      <c r="EU46" s="987"/>
      <c r="EV46" s="987"/>
      <c r="EW46" s="987"/>
      <c r="EX46" s="987"/>
      <c r="EY46" s="987"/>
      <c r="EZ46" s="987"/>
      <c r="FA46" s="987"/>
      <c r="FB46" s="987"/>
      <c r="FC46" s="987"/>
      <c r="FD46" s="987"/>
      <c r="FE46" s="987"/>
      <c r="FF46" s="987"/>
      <c r="FG46" s="987"/>
      <c r="FH46" s="987"/>
      <c r="FI46" s="987"/>
      <c r="FJ46" s="987"/>
      <c r="FK46" s="987"/>
      <c r="FL46" s="987"/>
      <c r="FM46" s="987"/>
      <c r="FN46" s="987"/>
      <c r="FO46" s="987"/>
      <c r="FP46" s="987"/>
      <c r="FQ46" s="987"/>
      <c r="FR46" s="987"/>
      <c r="FS46" s="987"/>
      <c r="FT46" s="987"/>
      <c r="FU46" s="987"/>
      <c r="FV46" s="987"/>
      <c r="FW46" s="987"/>
      <c r="FX46" s="987"/>
      <c r="FY46" s="987"/>
      <c r="FZ46" s="987"/>
      <c r="GA46" s="987"/>
      <c r="GB46" s="987"/>
      <c r="GC46" s="987"/>
      <c r="GD46" s="987"/>
      <c r="GE46" s="987"/>
      <c r="GF46" s="987"/>
      <c r="GG46" s="987"/>
      <c r="GH46" s="987"/>
      <c r="GI46" s="987"/>
      <c r="GJ46" s="987"/>
      <c r="GK46" s="987"/>
      <c r="GL46" s="987"/>
      <c r="GM46" s="987"/>
      <c r="GN46" s="987"/>
      <c r="GO46" s="987"/>
      <c r="GP46" s="987"/>
      <c r="GQ46" s="987"/>
      <c r="GR46" s="987"/>
      <c r="GS46" s="987"/>
      <c r="GT46" s="987"/>
      <c r="GU46" s="987"/>
      <c r="GV46" s="987"/>
      <c r="GW46" s="987"/>
      <c r="GX46" s="987"/>
      <c r="GY46" s="987"/>
      <c r="GZ46" s="987"/>
      <c r="HA46" s="987"/>
      <c r="HB46" s="987"/>
      <c r="HC46" s="987"/>
      <c r="HD46" s="987"/>
      <c r="HE46" s="987"/>
      <c r="HF46" s="987"/>
      <c r="HG46" s="987"/>
      <c r="HH46" s="987"/>
      <c r="HI46" s="987"/>
      <c r="HJ46" s="987"/>
      <c r="HK46" s="987"/>
      <c r="HL46" s="987"/>
      <c r="HM46" s="987"/>
      <c r="HN46" s="987"/>
      <c r="HO46" s="987"/>
      <c r="HP46" s="987"/>
      <c r="HQ46" s="987"/>
      <c r="HR46" s="987"/>
      <c r="HS46" s="987"/>
      <c r="HT46" s="987"/>
      <c r="HU46" s="987"/>
      <c r="HV46" s="987"/>
      <c r="HW46" s="987"/>
      <c r="HX46" s="987"/>
      <c r="HY46" s="987"/>
      <c r="HZ46" s="987"/>
      <c r="IA46" s="987"/>
      <c r="IB46" s="987"/>
      <c r="IC46" s="987"/>
      <c r="ID46" s="987"/>
      <c r="IE46" s="987"/>
      <c r="IF46" s="987"/>
      <c r="IG46" s="987"/>
      <c r="IH46" s="987"/>
      <c r="II46" s="987"/>
      <c r="IJ46" s="987"/>
      <c r="IK46" s="987"/>
      <c r="IL46" s="987"/>
      <c r="IM46" s="987"/>
      <c r="IN46" s="987"/>
      <c r="IO46" s="987"/>
      <c r="IP46" s="987"/>
      <c r="IQ46" s="987"/>
      <c r="IR46" s="987"/>
      <c r="IS46" s="987"/>
      <c r="IT46" s="987"/>
      <c r="IU46" s="987"/>
      <c r="IV46" s="987"/>
      <c r="IW46" s="987"/>
      <c r="IX46" s="987"/>
      <c r="IY46" s="987"/>
      <c r="IZ46" s="987"/>
      <c r="JA46" s="987"/>
      <c r="JB46" s="987"/>
      <c r="JC46" s="987"/>
      <c r="JD46" s="987"/>
      <c r="JE46" s="987"/>
      <c r="JF46" s="987"/>
      <c r="JG46" s="987"/>
      <c r="JH46" s="987"/>
      <c r="JI46" s="987"/>
      <c r="JJ46" s="987"/>
      <c r="JK46" s="987"/>
      <c r="JL46" s="987"/>
      <c r="JM46" s="987"/>
      <c r="JN46" s="987"/>
      <c r="JO46" s="987"/>
      <c r="JP46" s="987"/>
      <c r="JQ46" s="987"/>
      <c r="JR46" s="987"/>
      <c r="JS46" s="987"/>
      <c r="JT46" s="987"/>
      <c r="JU46" s="987"/>
      <c r="JV46" s="987"/>
      <c r="JW46" s="987"/>
      <c r="JX46" s="987"/>
      <c r="JY46" s="987"/>
      <c r="JZ46" s="987"/>
      <c r="KA46" s="987"/>
      <c r="KB46" s="987"/>
      <c r="KC46" s="987"/>
      <c r="KD46" s="987"/>
      <c r="KE46" s="987"/>
      <c r="KF46" s="987"/>
      <c r="KG46" s="987"/>
      <c r="KH46" s="987"/>
      <c r="KI46" s="987"/>
      <c r="KJ46" s="987"/>
      <c r="KK46" s="987"/>
      <c r="KL46" s="987"/>
      <c r="KM46" s="987"/>
      <c r="KN46" s="987"/>
      <c r="KO46" s="987"/>
      <c r="KP46" s="987"/>
      <c r="KQ46" s="987"/>
      <c r="KR46" s="987"/>
      <c r="KS46" s="987"/>
      <c r="KT46" s="987"/>
      <c r="KU46" s="987"/>
      <c r="KV46" s="987"/>
      <c r="KW46" s="987"/>
      <c r="KX46" s="987"/>
      <c r="KY46" s="987"/>
      <c r="KZ46" s="987"/>
      <c r="LA46" s="987"/>
      <c r="LB46" s="987"/>
      <c r="LC46" s="987"/>
      <c r="LD46" s="987"/>
      <c r="LE46" s="987"/>
      <c r="LF46" s="987"/>
      <c r="LG46" s="987"/>
      <c r="LH46" s="987"/>
      <c r="LI46" s="987"/>
      <c r="LJ46" s="987"/>
      <c r="LK46" s="987"/>
      <c r="LL46" s="987"/>
      <c r="LM46" s="987"/>
      <c r="LN46" s="987"/>
      <c r="LO46" s="987"/>
      <c r="LP46" s="987"/>
      <c r="LQ46" s="987"/>
      <c r="LR46" s="987"/>
      <c r="LS46" s="987"/>
      <c r="LT46" s="987"/>
      <c r="LU46" s="987"/>
      <c r="LV46" s="987"/>
      <c r="LW46" s="987"/>
      <c r="LX46" s="987"/>
      <c r="LY46" s="987"/>
      <c r="LZ46" s="987"/>
      <c r="MA46" s="987"/>
      <c r="MB46" s="987"/>
      <c r="MC46" s="987"/>
      <c r="MD46" s="987"/>
      <c r="ME46" s="987"/>
      <c r="MF46" s="987"/>
      <c r="MG46" s="987"/>
      <c r="MH46" s="987"/>
      <c r="MI46" s="987"/>
      <c r="MJ46" s="987"/>
      <c r="MK46" s="987"/>
      <c r="ML46" s="987"/>
      <c r="MM46" s="987"/>
      <c r="MN46" s="987"/>
      <c r="MO46" s="987"/>
      <c r="MP46" s="987"/>
      <c r="MQ46" s="987"/>
      <c r="MR46" s="987"/>
      <c r="MS46" s="987"/>
      <c r="MT46" s="987"/>
      <c r="MU46" s="987"/>
      <c r="MV46" s="987"/>
      <c r="MW46" s="987"/>
      <c r="MX46" s="987"/>
      <c r="MY46" s="987"/>
      <c r="MZ46" s="987"/>
      <c r="NA46" s="987"/>
      <c r="NB46" s="987"/>
      <c r="NC46" s="987"/>
      <c r="ND46" s="987"/>
      <c r="NE46" s="987"/>
      <c r="NF46" s="987"/>
      <c r="NG46" s="987"/>
      <c r="NH46" s="987"/>
      <c r="NI46" s="987"/>
      <c r="NJ46" s="987"/>
      <c r="NK46" s="987"/>
      <c r="NL46" s="987"/>
      <c r="NM46" s="987"/>
      <c r="NN46" s="987"/>
      <c r="NO46" s="987"/>
      <c r="NP46" s="987"/>
      <c r="NQ46" s="987"/>
      <c r="NR46" s="987"/>
      <c r="NS46" s="987"/>
      <c r="NT46" s="987"/>
      <c r="NU46" s="987"/>
      <c r="NV46" s="987"/>
      <c r="NW46" s="987"/>
      <c r="NX46" s="987"/>
      <c r="NY46" s="987"/>
      <c r="NZ46" s="987"/>
      <c r="OA46" s="987"/>
      <c r="OB46" s="987"/>
      <c r="OC46" s="987"/>
      <c r="OD46" s="987"/>
      <c r="OE46" s="987"/>
      <c r="OF46" s="987"/>
      <c r="OG46" s="987"/>
      <c r="OH46" s="987"/>
      <c r="OI46" s="987"/>
      <c r="OJ46" s="987"/>
      <c r="OK46" s="987"/>
      <c r="OL46" s="987"/>
      <c r="OM46" s="987"/>
      <c r="ON46" s="987"/>
      <c r="OO46" s="987"/>
      <c r="OP46" s="987"/>
      <c r="OQ46" s="987"/>
      <c r="OR46" s="987"/>
      <c r="OS46" s="987"/>
      <c r="OT46" s="987"/>
      <c r="OU46" s="987"/>
      <c r="OV46" s="987"/>
      <c r="OW46" s="987"/>
      <c r="OX46" s="987"/>
      <c r="OY46" s="987"/>
      <c r="OZ46" s="987"/>
      <c r="PA46" s="987"/>
      <c r="PB46" s="987"/>
      <c r="PC46" s="987"/>
      <c r="PD46" s="987"/>
      <c r="PE46" s="987"/>
      <c r="PF46" s="987"/>
      <c r="PG46" s="987"/>
      <c r="PH46" s="987"/>
      <c r="PI46" s="987"/>
      <c r="PJ46" s="987"/>
      <c r="PK46" s="987"/>
      <c r="PL46" s="987"/>
      <c r="PM46" s="987"/>
      <c r="PN46" s="987"/>
      <c r="PO46" s="987"/>
      <c r="PP46" s="987"/>
      <c r="PQ46" s="987"/>
      <c r="PR46" s="987"/>
      <c r="PS46" s="987"/>
      <c r="PT46" s="987"/>
      <c r="PU46" s="987"/>
      <c r="PV46" s="987"/>
      <c r="PW46" s="987"/>
      <c r="PX46" s="987"/>
      <c r="PY46" s="987"/>
      <c r="PZ46" s="987"/>
      <c r="QA46" s="987"/>
      <c r="QB46" s="987"/>
      <c r="QC46" s="987"/>
      <c r="QD46" s="987"/>
      <c r="QE46" s="987"/>
      <c r="QF46" s="987"/>
      <c r="QG46" s="987"/>
      <c r="QH46" s="987"/>
      <c r="QI46" s="987"/>
      <c r="QJ46" s="987"/>
      <c r="QK46" s="987"/>
      <c r="QL46" s="987"/>
      <c r="QM46" s="987"/>
      <c r="QN46" s="987"/>
      <c r="QO46" s="987"/>
      <c r="QP46" s="987"/>
      <c r="QQ46" s="987"/>
      <c r="QR46" s="987"/>
      <c r="QS46" s="987"/>
      <c r="QT46" s="987"/>
      <c r="QU46" s="987"/>
      <c r="QV46" s="987"/>
      <c r="QW46" s="987"/>
      <c r="QX46" s="987"/>
      <c r="QY46" s="987"/>
      <c r="QZ46" s="987"/>
      <c r="RA46" s="987"/>
      <c r="RB46" s="987"/>
      <c r="RC46" s="987"/>
      <c r="RD46" s="987"/>
      <c r="RE46" s="987"/>
      <c r="RF46" s="987"/>
      <c r="RG46" s="987"/>
      <c r="RH46" s="987"/>
      <c r="RI46" s="987"/>
      <c r="RJ46" s="987"/>
      <c r="RK46" s="987"/>
      <c r="RL46" s="987"/>
      <c r="RM46" s="987"/>
      <c r="RN46" s="987"/>
      <c r="RO46" s="987"/>
      <c r="RP46" s="987"/>
      <c r="RQ46" s="987"/>
      <c r="RR46" s="987"/>
      <c r="RS46" s="987"/>
      <c r="RT46" s="987"/>
      <c r="RU46" s="987"/>
      <c r="RV46" s="987"/>
      <c r="RW46" s="987"/>
      <c r="RX46" s="987"/>
      <c r="RY46" s="987"/>
      <c r="RZ46" s="987"/>
      <c r="SA46" s="987"/>
      <c r="SB46" s="987"/>
      <c r="SC46" s="987"/>
      <c r="SD46" s="987"/>
      <c r="SE46" s="987"/>
      <c r="SF46" s="987"/>
      <c r="SG46" s="987"/>
      <c r="SH46" s="987"/>
      <c r="SI46" s="987"/>
      <c r="SJ46" s="987"/>
      <c r="SK46" s="987"/>
      <c r="SL46" s="987"/>
      <c r="SM46" s="987"/>
      <c r="SN46" s="987"/>
      <c r="SO46" s="987"/>
      <c r="SP46" s="987"/>
      <c r="SQ46" s="987"/>
      <c r="SR46" s="987"/>
      <c r="SS46" s="987"/>
      <c r="ST46" s="987"/>
      <c r="SU46" s="987"/>
      <c r="SV46" s="987"/>
      <c r="SW46" s="987"/>
      <c r="SX46" s="987"/>
      <c r="SY46" s="987"/>
      <c r="SZ46" s="987"/>
      <c r="TA46" s="987"/>
      <c r="TB46" s="987"/>
      <c r="TC46" s="987"/>
      <c r="TD46" s="987"/>
      <c r="TE46" s="987"/>
      <c r="TF46" s="987"/>
      <c r="TG46" s="987"/>
      <c r="TH46" s="987"/>
      <c r="TI46" s="987"/>
      <c r="TJ46" s="987"/>
      <c r="TK46" s="987"/>
      <c r="TL46" s="987"/>
      <c r="TM46" s="987"/>
      <c r="TN46" s="987"/>
      <c r="TO46" s="987"/>
      <c r="TP46" s="987"/>
      <c r="TQ46" s="987"/>
      <c r="TR46" s="987"/>
      <c r="TS46" s="987"/>
      <c r="TT46" s="987"/>
      <c r="TU46" s="987"/>
      <c r="TV46" s="987"/>
      <c r="TW46" s="987"/>
      <c r="TX46" s="987"/>
      <c r="TY46" s="987"/>
      <c r="TZ46" s="987"/>
      <c r="UA46" s="987"/>
      <c r="UB46" s="987"/>
      <c r="UC46" s="987"/>
      <c r="UD46" s="987"/>
      <c r="UE46" s="987"/>
      <c r="UF46" s="987"/>
      <c r="UG46" s="987"/>
      <c r="UH46" s="987"/>
      <c r="UI46" s="987"/>
      <c r="UJ46" s="987"/>
      <c r="UK46" s="987"/>
      <c r="UL46" s="987"/>
      <c r="UM46" s="987"/>
      <c r="UN46" s="987"/>
      <c r="UO46" s="987"/>
      <c r="UP46" s="987"/>
      <c r="UQ46" s="987"/>
      <c r="UR46" s="987"/>
      <c r="US46" s="987"/>
      <c r="UT46" s="987"/>
      <c r="UU46" s="987"/>
      <c r="UV46" s="987"/>
      <c r="UW46" s="987"/>
      <c r="UX46" s="987"/>
      <c r="UY46" s="987"/>
      <c r="UZ46" s="987"/>
      <c r="VA46" s="987"/>
      <c r="VB46" s="987"/>
      <c r="VC46" s="987"/>
      <c r="VD46" s="987"/>
      <c r="VE46" s="987"/>
      <c r="VF46" s="987"/>
      <c r="VG46" s="987"/>
      <c r="VH46" s="987"/>
      <c r="VI46" s="987"/>
      <c r="VJ46" s="987"/>
      <c r="VK46" s="987"/>
      <c r="VL46" s="987"/>
      <c r="VM46" s="987"/>
      <c r="VN46" s="987"/>
      <c r="VO46" s="987"/>
      <c r="VP46" s="987"/>
      <c r="VQ46" s="987"/>
      <c r="VR46" s="987"/>
      <c r="VS46" s="987"/>
      <c r="VT46" s="987"/>
      <c r="VU46" s="987"/>
      <c r="VV46" s="987"/>
      <c r="VW46" s="987"/>
      <c r="VX46" s="987"/>
      <c r="VY46" s="987"/>
      <c r="VZ46" s="987"/>
      <c r="WA46" s="987"/>
      <c r="WB46" s="987"/>
      <c r="WC46" s="987"/>
      <c r="WD46" s="987"/>
      <c r="WE46" s="987"/>
      <c r="WF46" s="987"/>
      <c r="WG46" s="987"/>
      <c r="WH46" s="987"/>
      <c r="WI46" s="987"/>
      <c r="WJ46" s="987"/>
      <c r="WK46" s="987"/>
      <c r="WL46" s="987"/>
      <c r="WM46" s="987"/>
      <c r="WN46" s="987"/>
      <c r="WO46" s="987"/>
      <c r="WP46" s="987"/>
      <c r="WQ46" s="987"/>
      <c r="WR46" s="987"/>
      <c r="WS46" s="987"/>
      <c r="WT46" s="987"/>
      <c r="WU46" s="987"/>
      <c r="WV46" s="987"/>
      <c r="WW46" s="987"/>
      <c r="WX46" s="987"/>
      <c r="WY46" s="987"/>
      <c r="WZ46" s="987"/>
      <c r="XA46" s="987"/>
      <c r="XB46" s="987"/>
      <c r="XC46" s="987"/>
      <c r="XD46" s="987"/>
      <c r="XE46" s="987"/>
      <c r="XF46" s="987"/>
      <c r="XG46" s="987"/>
      <c r="XH46" s="987"/>
      <c r="XI46" s="987"/>
      <c r="XJ46" s="987"/>
      <c r="XK46" s="987"/>
      <c r="XL46" s="987"/>
      <c r="XM46" s="987"/>
      <c r="XN46" s="987"/>
      <c r="XO46" s="987"/>
      <c r="XP46" s="987"/>
      <c r="XQ46" s="987"/>
      <c r="XR46" s="987"/>
      <c r="XS46" s="987"/>
      <c r="XT46" s="987"/>
      <c r="XU46" s="987"/>
      <c r="XV46" s="987"/>
      <c r="XW46" s="987"/>
      <c r="XX46" s="987"/>
      <c r="XY46" s="987"/>
      <c r="XZ46" s="987"/>
      <c r="YA46" s="987"/>
      <c r="YB46" s="987"/>
      <c r="YC46" s="987"/>
      <c r="YD46" s="987"/>
      <c r="YE46" s="987"/>
      <c r="YF46" s="987"/>
      <c r="YG46" s="987"/>
      <c r="YH46" s="987"/>
      <c r="YI46" s="987"/>
      <c r="YJ46" s="987"/>
      <c r="YK46" s="987"/>
      <c r="YL46" s="987"/>
      <c r="YM46" s="987"/>
      <c r="YN46" s="987"/>
      <c r="YO46" s="987"/>
      <c r="YP46" s="987"/>
      <c r="YQ46" s="987"/>
      <c r="YR46" s="987"/>
      <c r="YS46" s="987"/>
      <c r="YT46" s="987"/>
      <c r="YU46" s="987"/>
      <c r="YV46" s="987"/>
      <c r="YW46" s="987"/>
      <c r="YX46" s="987"/>
      <c r="YY46" s="987"/>
      <c r="YZ46" s="987"/>
      <c r="ZA46" s="987"/>
      <c r="ZB46" s="987"/>
      <c r="ZC46" s="987"/>
      <c r="ZD46" s="987"/>
      <c r="ZE46" s="987"/>
      <c r="ZF46" s="987"/>
      <c r="ZG46" s="987"/>
      <c r="ZH46" s="987"/>
      <c r="ZI46" s="987"/>
      <c r="ZJ46" s="987"/>
      <c r="ZK46" s="987"/>
      <c r="ZL46" s="987"/>
      <c r="ZM46" s="987"/>
      <c r="ZN46" s="987"/>
      <c r="ZO46" s="987"/>
      <c r="ZP46" s="987"/>
      <c r="ZQ46" s="987"/>
      <c r="ZR46" s="987"/>
      <c r="ZS46" s="987"/>
      <c r="ZT46" s="987"/>
      <c r="ZU46" s="987"/>
      <c r="ZV46" s="987"/>
      <c r="ZW46" s="987"/>
      <c r="ZX46" s="987"/>
      <c r="ZY46" s="987"/>
      <c r="ZZ46" s="987"/>
      <c r="AAA46" s="987"/>
      <c r="AAB46" s="987"/>
      <c r="AAC46" s="987"/>
      <c r="AAD46" s="987"/>
      <c r="AAE46" s="987"/>
      <c r="AAF46" s="987"/>
      <c r="AAG46" s="987"/>
      <c r="AAH46" s="987"/>
      <c r="AAI46" s="987"/>
      <c r="AAJ46" s="987"/>
      <c r="AAK46" s="987"/>
      <c r="AAL46" s="987"/>
      <c r="AAM46" s="987"/>
      <c r="AAN46" s="987"/>
      <c r="AAO46" s="987"/>
      <c r="AAP46" s="987"/>
      <c r="AAQ46" s="987"/>
      <c r="AAR46" s="987"/>
      <c r="AAS46" s="987"/>
      <c r="AAT46" s="987"/>
      <c r="AAU46" s="987"/>
      <c r="AAV46" s="987"/>
      <c r="AAW46" s="987"/>
      <c r="AAX46" s="987"/>
      <c r="AAY46" s="987"/>
      <c r="AAZ46" s="987"/>
      <c r="ABA46" s="987"/>
      <c r="ABB46" s="987"/>
      <c r="ABC46" s="987"/>
      <c r="ABD46" s="987"/>
      <c r="ABE46" s="987"/>
      <c r="ABF46" s="987"/>
      <c r="ABG46" s="987"/>
      <c r="ABH46" s="987"/>
      <c r="ABI46" s="987"/>
      <c r="ABJ46" s="987"/>
      <c r="ABK46" s="987"/>
      <c r="ABL46" s="987"/>
      <c r="ABM46" s="987"/>
      <c r="ABN46" s="987"/>
      <c r="ABO46" s="987"/>
      <c r="ABP46" s="987"/>
      <c r="ABQ46" s="987"/>
      <c r="ABR46" s="987"/>
      <c r="ABS46" s="987"/>
      <c r="ABT46" s="987"/>
      <c r="ABU46" s="987"/>
      <c r="ABV46" s="987"/>
      <c r="ABW46" s="987"/>
      <c r="ABX46" s="987"/>
      <c r="ABY46" s="987"/>
      <c r="ABZ46" s="987"/>
      <c r="ACA46" s="987"/>
      <c r="ACB46" s="987"/>
      <c r="ACC46" s="987"/>
      <c r="ACD46" s="987"/>
      <c r="ACE46" s="987"/>
      <c r="ACF46" s="987"/>
      <c r="ACG46" s="987"/>
      <c r="ACH46" s="987"/>
      <c r="ACI46" s="987"/>
      <c r="ACJ46" s="987"/>
      <c r="ACK46" s="987"/>
      <c r="ACL46" s="987"/>
      <c r="ACM46" s="987"/>
      <c r="ACN46" s="987"/>
      <c r="ACO46" s="987"/>
      <c r="ACP46" s="987"/>
      <c r="ACQ46" s="987"/>
      <c r="ACR46" s="987"/>
      <c r="ACS46" s="987"/>
      <c r="ACT46" s="987"/>
      <c r="ACU46" s="987"/>
      <c r="ACV46" s="987"/>
      <c r="ACW46" s="987"/>
      <c r="ACX46" s="987"/>
      <c r="ACY46" s="987"/>
      <c r="ACZ46" s="987"/>
      <c r="ADA46" s="987"/>
      <c r="ADB46" s="987"/>
      <c r="ADC46" s="987"/>
      <c r="ADD46" s="987"/>
      <c r="ADE46" s="987"/>
      <c r="ADF46" s="987"/>
      <c r="ADG46" s="987"/>
      <c r="ADH46" s="987"/>
      <c r="ADI46" s="987"/>
      <c r="ADJ46" s="987"/>
      <c r="ADK46" s="987"/>
      <c r="ADL46" s="987"/>
      <c r="ADM46" s="987"/>
      <c r="ADN46" s="987"/>
      <c r="ADO46" s="987"/>
      <c r="ADP46" s="987"/>
      <c r="ADQ46" s="987"/>
      <c r="ADR46" s="987"/>
      <c r="ADS46" s="987"/>
      <c r="ADT46" s="987"/>
      <c r="ADU46" s="987"/>
      <c r="ADV46" s="987"/>
      <c r="ADW46" s="987"/>
      <c r="ADX46" s="987"/>
      <c r="ADY46" s="987"/>
      <c r="ADZ46" s="987"/>
      <c r="AEA46" s="987"/>
      <c r="AEB46" s="987"/>
      <c r="AEC46" s="987"/>
      <c r="AED46" s="987"/>
      <c r="AEE46" s="987"/>
      <c r="AEF46" s="987"/>
      <c r="AEG46" s="987"/>
      <c r="AEH46" s="987"/>
      <c r="AEI46" s="987"/>
      <c r="AEJ46" s="987"/>
      <c r="AEK46" s="987"/>
      <c r="AEL46" s="987"/>
      <c r="AEM46" s="987"/>
      <c r="AEN46" s="987"/>
      <c r="AEO46" s="987"/>
      <c r="AEP46" s="987"/>
      <c r="AEQ46" s="987"/>
      <c r="AER46" s="987"/>
      <c r="AES46" s="987"/>
      <c r="AET46" s="987"/>
      <c r="AEU46" s="987"/>
      <c r="AEV46" s="987"/>
      <c r="AEW46" s="987"/>
      <c r="AEX46" s="987"/>
      <c r="AEY46" s="987"/>
      <c r="AEZ46" s="987"/>
      <c r="AFA46" s="987"/>
      <c r="AFB46" s="987"/>
      <c r="AFC46" s="987"/>
      <c r="AFD46" s="987"/>
      <c r="AFE46" s="987"/>
      <c r="AFF46" s="987"/>
      <c r="AFG46" s="987"/>
      <c r="AFH46" s="987"/>
      <c r="AFI46" s="987"/>
      <c r="AFJ46" s="987"/>
      <c r="AFK46" s="987"/>
      <c r="AFL46" s="987"/>
      <c r="AFM46" s="987"/>
      <c r="AFN46" s="987"/>
      <c r="AFO46" s="987"/>
      <c r="AFP46" s="987"/>
      <c r="AFQ46" s="987"/>
      <c r="AFR46" s="987"/>
      <c r="AFS46" s="987"/>
      <c r="AFT46" s="987"/>
      <c r="AFU46" s="987"/>
      <c r="AFV46" s="987"/>
      <c r="AFW46" s="987"/>
      <c r="AFX46" s="987"/>
      <c r="AFY46" s="987"/>
      <c r="AFZ46" s="987"/>
      <c r="AGA46" s="987"/>
      <c r="AGB46" s="987"/>
      <c r="AGC46" s="987"/>
      <c r="AGD46" s="987"/>
      <c r="AGE46" s="987"/>
      <c r="AGF46" s="987"/>
      <c r="AGG46" s="987"/>
      <c r="AGH46" s="987"/>
      <c r="AGI46" s="987"/>
      <c r="AGJ46" s="987"/>
      <c r="AGK46" s="987"/>
      <c r="AGL46" s="987"/>
      <c r="AGM46" s="987"/>
      <c r="AGN46" s="987"/>
      <c r="AGO46" s="987"/>
      <c r="AGP46" s="987"/>
      <c r="AGQ46" s="987"/>
      <c r="AGR46" s="987"/>
      <c r="AGS46" s="987"/>
      <c r="AGT46" s="987"/>
      <c r="AGU46" s="987"/>
      <c r="AGV46" s="987"/>
      <c r="AGW46" s="987"/>
      <c r="AGX46" s="987"/>
      <c r="AGY46" s="987"/>
      <c r="AGZ46" s="987"/>
      <c r="AHA46" s="987"/>
      <c r="AHB46" s="987"/>
      <c r="AHC46" s="987"/>
      <c r="AHD46" s="987"/>
      <c r="AHE46" s="987"/>
      <c r="AHF46" s="987"/>
      <c r="AHG46" s="987"/>
      <c r="AHH46" s="987"/>
      <c r="AHI46" s="987"/>
      <c r="AHJ46" s="987"/>
      <c r="AHK46" s="987"/>
      <c r="AHL46" s="987"/>
      <c r="AHM46" s="987"/>
      <c r="AHN46" s="987"/>
      <c r="AHO46" s="987"/>
      <c r="AHP46" s="987"/>
      <c r="AHQ46" s="987"/>
      <c r="AHR46" s="987"/>
      <c r="AHS46" s="987"/>
      <c r="AHT46" s="987"/>
      <c r="AHU46" s="987"/>
      <c r="AHV46" s="987"/>
      <c r="AHW46" s="987"/>
      <c r="AHX46" s="987"/>
      <c r="AHY46" s="987"/>
      <c r="AHZ46" s="987"/>
      <c r="AIA46" s="987"/>
      <c r="AIB46" s="987"/>
      <c r="AIC46" s="987"/>
      <c r="AID46" s="987"/>
      <c r="AIE46" s="987"/>
      <c r="AIF46" s="987"/>
      <c r="AIG46" s="987"/>
      <c r="AIH46" s="987"/>
      <c r="AII46" s="987"/>
      <c r="AIJ46" s="987"/>
      <c r="AIK46" s="987"/>
      <c r="AIL46" s="987"/>
      <c r="AIM46" s="987"/>
      <c r="AIN46" s="987"/>
      <c r="AIO46" s="987"/>
      <c r="AIP46" s="987"/>
      <c r="AIQ46" s="987"/>
      <c r="AIR46" s="987"/>
      <c r="AIS46" s="987"/>
      <c r="AIT46" s="987"/>
      <c r="AIU46" s="987"/>
      <c r="AIV46" s="987"/>
      <c r="AIW46" s="987"/>
      <c r="AIX46" s="987"/>
      <c r="AIY46" s="987"/>
      <c r="AIZ46" s="987"/>
      <c r="AJA46" s="987"/>
      <c r="AJB46" s="987"/>
      <c r="AJC46" s="987"/>
      <c r="AJD46" s="987"/>
      <c r="AJE46" s="987"/>
      <c r="AJF46" s="987"/>
      <c r="AJG46" s="987"/>
      <c r="AJH46" s="987"/>
      <c r="AJI46" s="987"/>
      <c r="AJJ46" s="987"/>
      <c r="AJK46" s="987"/>
      <c r="AJL46" s="987"/>
      <c r="AJM46" s="987"/>
      <c r="AJN46" s="987"/>
      <c r="AJO46" s="987"/>
      <c r="AJP46" s="987"/>
      <c r="AJQ46" s="987"/>
      <c r="AJR46" s="987"/>
      <c r="AJS46" s="987"/>
      <c r="AJT46" s="987"/>
      <c r="AJU46" s="987"/>
      <c r="AJV46" s="987"/>
      <c r="AJW46" s="987"/>
      <c r="AJX46" s="987"/>
      <c r="AJY46" s="987"/>
      <c r="AJZ46" s="987"/>
      <c r="AKA46" s="987"/>
      <c r="AKB46" s="987"/>
      <c r="AKC46" s="987"/>
      <c r="AKD46" s="987"/>
      <c r="AKE46" s="987"/>
      <c r="AKF46" s="987"/>
      <c r="AKG46" s="987"/>
      <c r="AKH46" s="987"/>
      <c r="AKI46" s="987"/>
      <c r="AKJ46" s="987"/>
      <c r="AKK46" s="987"/>
      <c r="AKL46" s="987"/>
      <c r="AKM46" s="987"/>
      <c r="AKN46" s="987"/>
      <c r="AKO46" s="987"/>
      <c r="AKP46" s="987"/>
      <c r="AKQ46" s="987"/>
      <c r="AKR46" s="987"/>
      <c r="AKS46" s="987"/>
      <c r="AKT46" s="987"/>
      <c r="AKU46" s="987"/>
      <c r="AKV46" s="987"/>
      <c r="AKW46" s="987"/>
      <c r="AKX46" s="987"/>
      <c r="AKY46" s="987"/>
      <c r="AKZ46" s="987"/>
      <c r="ALA46" s="987"/>
      <c r="ALB46" s="987"/>
      <c r="ALC46" s="987"/>
      <c r="ALD46" s="987"/>
      <c r="ALE46" s="987"/>
      <c r="ALF46" s="987"/>
      <c r="ALG46" s="987"/>
      <c r="ALH46" s="987"/>
      <c r="ALI46" s="987"/>
      <c r="ALJ46" s="987"/>
      <c r="ALK46" s="987"/>
      <c r="ALL46" s="987"/>
      <c r="ALM46" s="987"/>
      <c r="ALN46" s="987"/>
      <c r="ALO46" s="987"/>
      <c r="ALP46" s="987"/>
      <c r="ALQ46" s="987"/>
      <c r="ALR46" s="987"/>
      <c r="ALS46" s="987"/>
      <c r="ALT46" s="987"/>
      <c r="ALU46" s="987"/>
      <c r="ALV46" s="987"/>
      <c r="ALW46" s="987"/>
      <c r="ALX46" s="987"/>
      <c r="ALY46" s="987"/>
      <c r="ALZ46" s="987"/>
      <c r="AMA46" s="987"/>
      <c r="AMB46" s="987"/>
      <c r="AMC46" s="987"/>
      <c r="AMD46" s="987"/>
      <c r="AME46" s="987"/>
      <c r="AMF46" s="987"/>
      <c r="AMG46" s="987"/>
      <c r="AMH46" s="987"/>
      <c r="AMI46" s="987"/>
      <c r="AMJ46" s="987"/>
      <c r="AMK46" s="987"/>
      <c r="AML46" s="987"/>
      <c r="AMM46" s="987"/>
      <c r="AMN46" s="987"/>
      <c r="AMO46" s="987"/>
      <c r="AMP46" s="987"/>
      <c r="AMQ46" s="987"/>
      <c r="AMR46" s="987"/>
      <c r="AMS46" s="987"/>
      <c r="AMT46" s="987"/>
      <c r="AMU46" s="987"/>
      <c r="AMV46" s="987"/>
      <c r="AMW46" s="987"/>
      <c r="AMX46" s="987"/>
      <c r="AMY46" s="987"/>
      <c r="AMZ46" s="987"/>
      <c r="ANA46" s="987"/>
      <c r="ANB46" s="987"/>
      <c r="ANC46" s="987"/>
      <c r="AND46" s="987"/>
      <c r="ANE46" s="987"/>
      <c r="ANF46" s="987"/>
      <c r="ANG46" s="987"/>
      <c r="ANH46" s="987"/>
      <c r="ANI46" s="987"/>
      <c r="ANJ46" s="987"/>
      <c r="ANK46" s="987"/>
      <c r="ANL46" s="987"/>
      <c r="ANM46" s="987"/>
      <c r="ANN46" s="987"/>
      <c r="ANO46" s="987"/>
      <c r="ANP46" s="987"/>
      <c r="ANQ46" s="987"/>
      <c r="ANR46" s="987"/>
      <c r="ANS46" s="987"/>
      <c r="ANT46" s="987"/>
      <c r="ANU46" s="987"/>
      <c r="ANV46" s="987"/>
      <c r="ANW46" s="987"/>
      <c r="ANX46" s="987"/>
      <c r="ANY46" s="987"/>
      <c r="ANZ46" s="987"/>
      <c r="AOA46" s="987"/>
      <c r="AOB46" s="987"/>
      <c r="AOC46" s="987"/>
      <c r="AOD46" s="987"/>
      <c r="AOE46" s="987"/>
      <c r="AOF46" s="987"/>
      <c r="AOG46" s="987"/>
      <c r="AOH46" s="987"/>
      <c r="AOI46" s="987"/>
      <c r="AOJ46" s="987"/>
      <c r="AOK46" s="987"/>
      <c r="AOL46" s="987"/>
      <c r="AOM46" s="987"/>
      <c r="AON46" s="987"/>
      <c r="AOO46" s="987"/>
      <c r="AOP46" s="987"/>
      <c r="AOQ46" s="987"/>
      <c r="AOR46" s="987"/>
      <c r="AOS46" s="987"/>
      <c r="AOT46" s="987"/>
      <c r="AOU46" s="987"/>
      <c r="AOV46" s="987"/>
      <c r="AOW46" s="987"/>
      <c r="AOX46" s="987"/>
      <c r="AOY46" s="987"/>
      <c r="AOZ46" s="987"/>
      <c r="APA46" s="987"/>
      <c r="APB46" s="987"/>
      <c r="APC46" s="987"/>
      <c r="APD46" s="987"/>
      <c r="APE46" s="987"/>
      <c r="APF46" s="987"/>
      <c r="APG46" s="987"/>
      <c r="APH46" s="987"/>
      <c r="API46" s="987"/>
      <c r="APJ46" s="987"/>
      <c r="APK46" s="987"/>
      <c r="APL46" s="987"/>
      <c r="APM46" s="987"/>
      <c r="APN46" s="987"/>
      <c r="APO46" s="987"/>
      <c r="APP46" s="987"/>
      <c r="APQ46" s="987"/>
      <c r="APR46" s="987"/>
      <c r="APS46" s="987"/>
      <c r="APT46" s="987"/>
      <c r="APU46" s="987"/>
      <c r="APV46" s="987"/>
      <c r="APW46" s="987"/>
      <c r="APX46" s="987"/>
      <c r="APY46" s="987"/>
      <c r="APZ46" s="987"/>
      <c r="AQA46" s="987"/>
      <c r="AQB46" s="987"/>
      <c r="AQC46" s="987"/>
      <c r="AQD46" s="987"/>
      <c r="AQE46" s="987"/>
      <c r="AQF46" s="987"/>
      <c r="AQG46" s="987"/>
      <c r="AQH46" s="987"/>
      <c r="AQI46" s="987"/>
      <c r="AQJ46" s="987"/>
      <c r="AQK46" s="987"/>
      <c r="AQL46" s="987"/>
      <c r="AQM46" s="987"/>
      <c r="AQN46" s="987"/>
      <c r="AQO46" s="987"/>
      <c r="AQP46" s="987"/>
      <c r="AQQ46" s="987"/>
      <c r="AQR46" s="987"/>
      <c r="AQS46" s="987"/>
      <c r="AQT46" s="987"/>
      <c r="AQU46" s="987"/>
      <c r="AQV46" s="987"/>
      <c r="AQW46" s="987"/>
      <c r="AQX46" s="987"/>
      <c r="AQY46" s="987"/>
      <c r="AQZ46" s="987"/>
      <c r="ARA46" s="987"/>
      <c r="ARB46" s="987"/>
      <c r="ARC46" s="987"/>
      <c r="ARD46" s="987"/>
      <c r="ARE46" s="987"/>
      <c r="ARF46" s="987"/>
      <c r="ARG46" s="987"/>
      <c r="ARH46" s="987"/>
      <c r="ARI46" s="987"/>
      <c r="ARJ46" s="987"/>
      <c r="ARK46" s="987"/>
      <c r="ARL46" s="987"/>
      <c r="ARM46" s="987"/>
      <c r="ARN46" s="987"/>
      <c r="ARO46" s="987"/>
      <c r="ARP46" s="987"/>
      <c r="ARQ46" s="987"/>
      <c r="ARR46" s="987"/>
      <c r="ARS46" s="987"/>
      <c r="ART46" s="987"/>
      <c r="ARU46" s="987"/>
      <c r="ARV46" s="987"/>
      <c r="ARW46" s="987"/>
      <c r="ARX46" s="987"/>
      <c r="ARY46" s="987"/>
      <c r="ARZ46" s="987"/>
      <c r="ASA46" s="987"/>
      <c r="ASB46" s="987"/>
      <c r="ASC46" s="987"/>
      <c r="ASD46" s="987"/>
      <c r="ASE46" s="987"/>
      <c r="ASF46" s="987"/>
      <c r="ASG46" s="987"/>
      <c r="ASH46" s="987"/>
      <c r="ASI46" s="987"/>
      <c r="ASJ46" s="987"/>
      <c r="ASK46" s="987"/>
      <c r="ASL46" s="987"/>
      <c r="ASM46" s="987"/>
      <c r="ASN46" s="987"/>
      <c r="ASO46" s="987"/>
      <c r="ASP46" s="987"/>
      <c r="ASQ46" s="987"/>
      <c r="ASR46" s="987"/>
      <c r="ASS46" s="987"/>
      <c r="AST46" s="987"/>
      <c r="ASU46" s="987"/>
      <c r="ASV46" s="987"/>
      <c r="ASW46" s="987"/>
      <c r="ASX46" s="987"/>
      <c r="ASY46" s="987"/>
      <c r="ASZ46" s="987"/>
      <c r="ATA46" s="987"/>
      <c r="ATB46" s="987"/>
      <c r="ATC46" s="987"/>
      <c r="ATD46" s="987"/>
      <c r="ATE46" s="987"/>
      <c r="ATF46" s="987"/>
      <c r="ATG46" s="987"/>
      <c r="ATH46" s="987"/>
      <c r="ATI46" s="987"/>
      <c r="ATJ46" s="987"/>
      <c r="ATK46" s="987"/>
      <c r="ATL46" s="987"/>
      <c r="ATM46" s="987"/>
      <c r="ATN46" s="987"/>
      <c r="ATO46" s="987"/>
      <c r="ATP46" s="987"/>
      <c r="ATQ46" s="987"/>
      <c r="ATR46" s="987"/>
      <c r="ATS46" s="987"/>
      <c r="ATT46" s="987"/>
      <c r="ATU46" s="987"/>
      <c r="ATV46" s="987"/>
      <c r="ATW46" s="987"/>
      <c r="ATX46" s="987"/>
      <c r="ATY46" s="987"/>
      <c r="ATZ46" s="987"/>
      <c r="AUA46" s="987"/>
      <c r="AUB46" s="987"/>
      <c r="AUC46" s="987"/>
      <c r="AUD46" s="987"/>
      <c r="AUE46" s="987"/>
      <c r="AUF46" s="987"/>
      <c r="AUG46" s="987"/>
      <c r="AUH46" s="987"/>
      <c r="AUI46" s="987"/>
      <c r="AUJ46" s="987"/>
      <c r="AUK46" s="987"/>
      <c r="AUL46" s="987"/>
      <c r="AUM46" s="987"/>
      <c r="AUN46" s="987"/>
      <c r="AUO46" s="987"/>
      <c r="AUP46" s="987"/>
      <c r="AUQ46" s="987"/>
      <c r="AUR46" s="987"/>
      <c r="AUS46" s="987"/>
      <c r="AUT46" s="987"/>
      <c r="AUU46" s="987"/>
      <c r="AUV46" s="987"/>
      <c r="AUW46" s="987"/>
      <c r="AUX46" s="987"/>
      <c r="AUY46" s="987"/>
      <c r="AUZ46" s="987"/>
      <c r="AVA46" s="987"/>
      <c r="AVB46" s="987"/>
      <c r="AVC46" s="987"/>
      <c r="AVD46" s="987"/>
      <c r="AVE46" s="987"/>
      <c r="AVF46" s="987"/>
      <c r="AVG46" s="987"/>
      <c r="AVH46" s="987"/>
      <c r="AVI46" s="987"/>
      <c r="AVJ46" s="987"/>
      <c r="AVK46" s="987"/>
      <c r="AVL46" s="987"/>
      <c r="AVM46" s="987"/>
      <c r="AVN46" s="987"/>
      <c r="AVO46" s="987"/>
      <c r="AVP46" s="987"/>
      <c r="AVQ46" s="987"/>
      <c r="AVR46" s="987"/>
      <c r="AVS46" s="987"/>
      <c r="AVT46" s="987"/>
      <c r="AVU46" s="987"/>
      <c r="AVV46" s="987"/>
      <c r="AVW46" s="987"/>
      <c r="AVX46" s="987"/>
      <c r="AVY46" s="987"/>
      <c r="AVZ46" s="987"/>
      <c r="AWA46" s="987"/>
      <c r="AWB46" s="987"/>
      <c r="AWC46" s="987"/>
      <c r="AWD46" s="987"/>
      <c r="AWE46" s="987"/>
      <c r="AWF46" s="987"/>
      <c r="AWG46" s="987"/>
      <c r="AWH46" s="987"/>
      <c r="AWI46" s="987"/>
      <c r="AWJ46" s="987"/>
      <c r="AWK46" s="987"/>
      <c r="AWL46" s="987"/>
      <c r="AWM46" s="987"/>
      <c r="AWN46" s="987"/>
      <c r="AWO46" s="987"/>
      <c r="AWP46" s="987"/>
      <c r="AWQ46" s="987"/>
      <c r="AWR46" s="987"/>
      <c r="AWS46" s="987"/>
      <c r="AWT46" s="987"/>
      <c r="AWU46" s="987"/>
      <c r="AWV46" s="987"/>
      <c r="AWW46" s="987"/>
      <c r="AWX46" s="987"/>
      <c r="AWY46" s="987"/>
      <c r="AWZ46" s="987"/>
      <c r="AXA46" s="987"/>
      <c r="AXB46" s="987"/>
      <c r="AXC46" s="987"/>
      <c r="AXD46" s="987"/>
      <c r="AXE46" s="987"/>
      <c r="AXF46" s="987"/>
      <c r="AXG46" s="987"/>
      <c r="AXH46" s="987"/>
      <c r="AXI46" s="987"/>
      <c r="AXJ46" s="987"/>
      <c r="AXK46" s="987"/>
      <c r="AXL46" s="987"/>
      <c r="AXM46" s="987"/>
      <c r="AXN46" s="987"/>
      <c r="AXO46" s="987"/>
      <c r="AXP46" s="987"/>
      <c r="AXQ46" s="987"/>
      <c r="AXR46" s="987"/>
      <c r="AXS46" s="987"/>
      <c r="AXT46" s="987"/>
      <c r="AXU46" s="987"/>
      <c r="AXV46" s="987"/>
      <c r="AXW46" s="987"/>
      <c r="AXX46" s="987"/>
      <c r="AXY46" s="987"/>
      <c r="AXZ46" s="987"/>
      <c r="AYA46" s="987"/>
      <c r="AYB46" s="987"/>
      <c r="AYC46" s="987"/>
      <c r="AYD46" s="987"/>
      <c r="AYE46" s="987"/>
      <c r="AYF46" s="987"/>
      <c r="AYG46" s="987"/>
      <c r="AYH46" s="987"/>
      <c r="AYI46" s="987"/>
      <c r="AYJ46" s="987"/>
      <c r="AYK46" s="987"/>
      <c r="AYL46" s="987"/>
      <c r="AYM46" s="987"/>
      <c r="AYN46" s="987"/>
      <c r="AYO46" s="987"/>
      <c r="AYP46" s="987"/>
      <c r="AYQ46" s="987"/>
      <c r="AYR46" s="987"/>
      <c r="AYS46" s="987"/>
      <c r="AYT46" s="987"/>
      <c r="AYU46" s="987"/>
      <c r="AYV46" s="987"/>
      <c r="AYW46" s="987"/>
      <c r="AYX46" s="987"/>
      <c r="AYY46" s="987"/>
      <c r="AYZ46" s="987"/>
      <c r="AZA46" s="987"/>
      <c r="AZB46" s="987"/>
      <c r="AZC46" s="987"/>
      <c r="AZD46" s="987"/>
      <c r="AZE46" s="987"/>
      <c r="AZF46" s="987"/>
      <c r="AZG46" s="987"/>
      <c r="AZH46" s="987"/>
      <c r="AZI46" s="987"/>
      <c r="AZJ46" s="987"/>
      <c r="AZK46" s="987"/>
      <c r="AZL46" s="987"/>
      <c r="AZM46" s="987"/>
      <c r="AZN46" s="987"/>
      <c r="AZO46" s="987"/>
      <c r="AZP46" s="987"/>
      <c r="AZQ46" s="987"/>
      <c r="AZR46" s="987"/>
      <c r="AZS46" s="987"/>
      <c r="AZT46" s="987"/>
      <c r="AZU46" s="987"/>
      <c r="AZV46" s="987"/>
      <c r="AZW46" s="987"/>
      <c r="AZX46" s="987"/>
      <c r="AZY46" s="987"/>
      <c r="AZZ46" s="987"/>
      <c r="BAA46" s="987"/>
      <c r="BAB46" s="987"/>
      <c r="BAC46" s="987"/>
      <c r="BAD46" s="987"/>
      <c r="BAE46" s="987"/>
      <c r="BAF46" s="987"/>
      <c r="BAG46" s="987"/>
      <c r="BAH46" s="987"/>
      <c r="BAI46" s="987"/>
      <c r="BAJ46" s="987"/>
      <c r="BAK46" s="987"/>
      <c r="BAL46" s="987"/>
      <c r="BAM46" s="987"/>
      <c r="BAN46" s="987"/>
      <c r="BAO46" s="987"/>
      <c r="BAP46" s="987"/>
      <c r="BAQ46" s="987"/>
      <c r="BAR46" s="987"/>
      <c r="BAS46" s="987"/>
      <c r="BAT46" s="987"/>
      <c r="BAU46" s="987"/>
      <c r="BAV46" s="987"/>
      <c r="BAW46" s="987"/>
      <c r="BAX46" s="987"/>
      <c r="BAY46" s="987"/>
      <c r="BAZ46" s="987"/>
      <c r="BBA46" s="987"/>
      <c r="BBB46" s="987"/>
      <c r="BBC46" s="987"/>
      <c r="BBD46" s="987"/>
      <c r="BBE46" s="987"/>
      <c r="BBF46" s="987"/>
      <c r="BBG46" s="987"/>
      <c r="BBH46" s="987"/>
      <c r="BBI46" s="987"/>
      <c r="BBJ46" s="987"/>
      <c r="BBK46" s="987"/>
      <c r="BBL46" s="987"/>
      <c r="BBM46" s="987"/>
      <c r="BBN46" s="987"/>
      <c r="BBO46" s="987"/>
      <c r="BBP46" s="987"/>
      <c r="BBQ46" s="987"/>
      <c r="BBR46" s="987"/>
      <c r="BBS46" s="987"/>
      <c r="BBT46" s="987"/>
      <c r="BBU46" s="987"/>
      <c r="BBV46" s="987"/>
      <c r="BBW46" s="987"/>
      <c r="BBX46" s="987"/>
      <c r="BBY46" s="987"/>
      <c r="BBZ46" s="987"/>
      <c r="BCA46" s="987"/>
      <c r="BCB46" s="987"/>
      <c r="BCC46" s="987"/>
      <c r="BCD46" s="987"/>
      <c r="BCE46" s="987"/>
      <c r="BCF46" s="987"/>
      <c r="BCG46" s="987"/>
      <c r="BCH46" s="987"/>
      <c r="BCI46" s="987"/>
      <c r="BCJ46" s="987"/>
      <c r="BCK46" s="987"/>
      <c r="BCL46" s="987"/>
      <c r="BCM46" s="987"/>
      <c r="BCN46" s="987"/>
      <c r="BCO46" s="987"/>
      <c r="BCP46" s="987"/>
      <c r="BCQ46" s="987"/>
      <c r="BCR46" s="987"/>
      <c r="BCS46" s="987"/>
      <c r="BCT46" s="987"/>
      <c r="BCU46" s="987"/>
      <c r="BCV46" s="987"/>
      <c r="BCW46" s="987"/>
      <c r="BCX46" s="987"/>
      <c r="BCY46" s="987"/>
      <c r="BCZ46" s="987"/>
      <c r="BDA46" s="987"/>
      <c r="BDB46" s="987"/>
      <c r="BDC46" s="987"/>
      <c r="BDD46" s="987"/>
      <c r="BDE46" s="987"/>
      <c r="BDF46" s="987"/>
      <c r="BDG46" s="987"/>
      <c r="BDH46" s="987"/>
      <c r="BDI46" s="987"/>
      <c r="BDJ46" s="987"/>
      <c r="BDK46" s="987"/>
      <c r="BDL46" s="987"/>
      <c r="BDM46" s="987"/>
      <c r="BDN46" s="987"/>
      <c r="BDO46" s="987"/>
      <c r="BDP46" s="987"/>
      <c r="BDQ46" s="987"/>
      <c r="BDR46" s="987"/>
      <c r="BDS46" s="987"/>
      <c r="BDT46" s="987"/>
      <c r="BDU46" s="987"/>
      <c r="BDV46" s="987"/>
      <c r="BDW46" s="987"/>
      <c r="BDX46" s="987"/>
      <c r="BDY46" s="987"/>
      <c r="BDZ46" s="987"/>
      <c r="BEA46" s="987"/>
      <c r="BEB46" s="987"/>
      <c r="BEC46" s="987"/>
      <c r="BED46" s="987"/>
      <c r="BEE46" s="987"/>
      <c r="BEF46" s="987"/>
      <c r="BEG46" s="987"/>
      <c r="BEH46" s="987"/>
      <c r="BEI46" s="987"/>
      <c r="BEJ46" s="987"/>
      <c r="BEK46" s="987"/>
      <c r="BEL46" s="987"/>
      <c r="BEM46" s="987"/>
      <c r="BEN46" s="987"/>
      <c r="BEO46" s="987"/>
      <c r="BEP46" s="987"/>
      <c r="BEQ46" s="987"/>
      <c r="BER46" s="987"/>
      <c r="BES46" s="987"/>
      <c r="BET46" s="987"/>
      <c r="BEU46" s="987"/>
      <c r="BEV46" s="987"/>
      <c r="BEW46" s="987"/>
      <c r="BEX46" s="987"/>
      <c r="BEY46" s="987"/>
      <c r="BEZ46" s="987"/>
      <c r="BFA46" s="987"/>
      <c r="BFB46" s="987"/>
      <c r="BFC46" s="987"/>
      <c r="BFD46" s="987"/>
      <c r="BFE46" s="987"/>
      <c r="BFF46" s="987"/>
      <c r="BFG46" s="987"/>
      <c r="BFH46" s="987"/>
      <c r="BFI46" s="987"/>
      <c r="BFJ46" s="987"/>
      <c r="BFK46" s="987"/>
      <c r="BFL46" s="987"/>
      <c r="BFM46" s="987"/>
      <c r="BFN46" s="987"/>
      <c r="BFO46" s="987"/>
      <c r="BFP46" s="987"/>
      <c r="BFQ46" s="987"/>
      <c r="BFR46" s="987"/>
      <c r="BFS46" s="987"/>
      <c r="BFT46" s="987"/>
      <c r="BFU46" s="987"/>
      <c r="BFV46" s="987"/>
      <c r="BFW46" s="987"/>
      <c r="BFX46" s="987"/>
      <c r="BFY46" s="987"/>
      <c r="BFZ46" s="987"/>
      <c r="BGA46" s="987"/>
      <c r="BGB46" s="987"/>
      <c r="BGC46" s="987"/>
      <c r="BGD46" s="987"/>
      <c r="BGE46" s="987"/>
      <c r="BGF46" s="987"/>
      <c r="BGG46" s="987"/>
      <c r="BGH46" s="987"/>
      <c r="BGI46" s="987"/>
      <c r="BGJ46" s="987"/>
      <c r="BGK46" s="987"/>
      <c r="BGL46" s="987"/>
      <c r="BGM46" s="987"/>
      <c r="BGN46" s="987"/>
      <c r="BGO46" s="987"/>
      <c r="BGP46" s="987"/>
      <c r="BGQ46" s="987"/>
      <c r="BGR46" s="987"/>
      <c r="BGS46" s="987"/>
      <c r="BGT46" s="987"/>
      <c r="BGU46" s="987"/>
      <c r="BGV46" s="987"/>
      <c r="BGW46" s="987"/>
      <c r="BGX46" s="987"/>
      <c r="BGY46" s="987"/>
      <c r="BGZ46" s="987"/>
      <c r="BHA46" s="987"/>
      <c r="BHB46" s="987"/>
      <c r="BHC46" s="987"/>
      <c r="BHD46" s="987"/>
      <c r="BHE46" s="987"/>
      <c r="BHF46" s="987"/>
      <c r="BHG46" s="987"/>
      <c r="BHH46" s="987"/>
      <c r="BHI46" s="987"/>
      <c r="BHJ46" s="987"/>
      <c r="BHK46" s="987"/>
      <c r="BHL46" s="987"/>
      <c r="BHM46" s="987"/>
      <c r="BHN46" s="987"/>
      <c r="BHO46" s="987"/>
      <c r="BHP46" s="987"/>
      <c r="BHQ46" s="987"/>
      <c r="BHR46" s="987"/>
      <c r="BHS46" s="987"/>
      <c r="BHT46" s="987"/>
      <c r="BHU46" s="987"/>
      <c r="BHV46" s="987"/>
      <c r="BHW46" s="987"/>
      <c r="BHX46" s="987"/>
      <c r="BHY46" s="987"/>
      <c r="BHZ46" s="987"/>
      <c r="BIA46" s="987"/>
      <c r="BIB46" s="987"/>
      <c r="BIC46" s="987"/>
      <c r="BID46" s="987"/>
      <c r="BIE46" s="987"/>
      <c r="BIF46" s="987"/>
      <c r="BIG46" s="987"/>
      <c r="BIH46" s="987"/>
      <c r="BII46" s="987"/>
      <c r="BIJ46" s="987"/>
      <c r="BIK46" s="987"/>
      <c r="BIL46" s="987"/>
      <c r="BIM46" s="987"/>
      <c r="BIN46" s="987"/>
      <c r="BIO46" s="987"/>
      <c r="BIP46" s="987"/>
      <c r="BIQ46" s="987"/>
      <c r="BIR46" s="987"/>
      <c r="BIS46" s="987"/>
      <c r="BIT46" s="987"/>
      <c r="BIU46" s="987"/>
      <c r="BIV46" s="987"/>
      <c r="BIW46" s="987"/>
      <c r="BIX46" s="987"/>
      <c r="BIY46" s="987"/>
      <c r="BIZ46" s="987"/>
      <c r="BJA46" s="987"/>
      <c r="BJB46" s="987"/>
      <c r="BJC46" s="987"/>
      <c r="BJD46" s="987"/>
      <c r="BJE46" s="987"/>
      <c r="BJF46" s="987"/>
      <c r="BJG46" s="987"/>
      <c r="BJH46" s="987"/>
      <c r="BJI46" s="987"/>
      <c r="BJJ46" s="987"/>
      <c r="BJK46" s="987"/>
      <c r="BJL46" s="987"/>
      <c r="BJM46" s="987"/>
      <c r="BJN46" s="987"/>
      <c r="BJO46" s="987"/>
      <c r="BJP46" s="987"/>
      <c r="BJQ46" s="987"/>
      <c r="BJR46" s="987"/>
      <c r="BJS46" s="987"/>
      <c r="BJT46" s="987"/>
      <c r="BJU46" s="987"/>
      <c r="BJV46" s="987"/>
      <c r="BJW46" s="987"/>
      <c r="BJX46" s="987"/>
      <c r="BJY46" s="987"/>
      <c r="BJZ46" s="987"/>
      <c r="BKA46" s="987"/>
      <c r="BKB46" s="987"/>
      <c r="BKC46" s="987"/>
      <c r="BKD46" s="987"/>
      <c r="BKE46" s="987"/>
      <c r="BKF46" s="987"/>
      <c r="BKG46" s="987"/>
      <c r="BKH46" s="987"/>
      <c r="BKI46" s="987"/>
      <c r="BKJ46" s="987"/>
      <c r="BKK46" s="987"/>
      <c r="BKL46" s="987"/>
      <c r="BKM46" s="987"/>
      <c r="BKN46" s="987"/>
      <c r="BKO46" s="987"/>
      <c r="BKP46" s="987"/>
      <c r="BKQ46" s="987"/>
      <c r="BKR46" s="987"/>
      <c r="BKS46" s="987"/>
      <c r="BKT46" s="987"/>
      <c r="BKU46" s="987"/>
      <c r="BKV46" s="987"/>
      <c r="BKW46" s="987"/>
      <c r="BKX46" s="987"/>
      <c r="BKY46" s="987"/>
      <c r="BKZ46" s="987"/>
      <c r="BLA46" s="987"/>
      <c r="BLB46" s="987"/>
      <c r="BLC46" s="987"/>
      <c r="BLD46" s="987"/>
      <c r="BLE46" s="987"/>
      <c r="BLF46" s="987"/>
      <c r="BLG46" s="987"/>
      <c r="BLH46" s="987"/>
      <c r="BLI46" s="987"/>
      <c r="BLJ46" s="987"/>
      <c r="BLK46" s="987"/>
      <c r="BLL46" s="987"/>
      <c r="BLM46" s="987"/>
      <c r="BLN46" s="987"/>
      <c r="BLO46" s="987"/>
      <c r="BLP46" s="987"/>
      <c r="BLQ46" s="987"/>
      <c r="BLR46" s="987"/>
      <c r="BLS46" s="987"/>
      <c r="BLT46" s="987"/>
      <c r="BLU46" s="987"/>
      <c r="BLV46" s="987"/>
      <c r="BLW46" s="987"/>
      <c r="BLX46" s="987"/>
      <c r="BLY46" s="987"/>
      <c r="BLZ46" s="987"/>
      <c r="BMA46" s="987"/>
      <c r="BMB46" s="987"/>
      <c r="BMC46" s="987"/>
      <c r="BMD46" s="987"/>
      <c r="BME46" s="987"/>
      <c r="BMF46" s="987"/>
      <c r="BMG46" s="987"/>
      <c r="BMH46" s="987"/>
      <c r="BMI46" s="987"/>
      <c r="BMJ46" s="987"/>
      <c r="BMK46" s="987"/>
      <c r="BML46" s="987"/>
      <c r="BMM46" s="987"/>
      <c r="BMN46" s="987"/>
      <c r="BMO46" s="987"/>
      <c r="BMP46" s="987"/>
      <c r="BMQ46" s="987"/>
      <c r="BMR46" s="987"/>
      <c r="BMS46" s="987"/>
      <c r="BMT46" s="987"/>
      <c r="BMU46" s="987"/>
      <c r="BMV46" s="987"/>
      <c r="BMW46" s="987"/>
      <c r="BMX46" s="987"/>
      <c r="BMY46" s="987"/>
      <c r="BMZ46" s="987"/>
      <c r="BNA46" s="987"/>
      <c r="BNB46" s="987"/>
      <c r="BNC46" s="987"/>
      <c r="BND46" s="987"/>
      <c r="BNE46" s="987"/>
      <c r="BNF46" s="987"/>
      <c r="BNG46" s="987"/>
      <c r="BNH46" s="987"/>
      <c r="BNI46" s="987"/>
      <c r="BNJ46" s="987"/>
      <c r="BNK46" s="987"/>
      <c r="BNL46" s="987"/>
      <c r="BNM46" s="987"/>
      <c r="BNN46" s="987"/>
      <c r="BNO46" s="987"/>
      <c r="BNP46" s="987"/>
      <c r="BNQ46" s="987"/>
      <c r="BNR46" s="987"/>
      <c r="BNS46" s="987"/>
      <c r="BNT46" s="987"/>
      <c r="BNU46" s="987"/>
      <c r="BNV46" s="987"/>
      <c r="BNW46" s="987"/>
      <c r="BNX46" s="987"/>
      <c r="BNY46" s="987"/>
      <c r="BNZ46" s="987"/>
      <c r="BOA46" s="987"/>
      <c r="BOB46" s="987"/>
      <c r="BOC46" s="987"/>
      <c r="BOD46" s="987"/>
      <c r="BOE46" s="987"/>
      <c r="BOF46" s="987"/>
      <c r="BOG46" s="987"/>
      <c r="BOH46" s="987"/>
      <c r="BOI46" s="987"/>
      <c r="BOJ46" s="987"/>
      <c r="BOK46" s="987"/>
      <c r="BOL46" s="987"/>
      <c r="BOM46" s="987"/>
      <c r="BON46" s="987"/>
      <c r="BOO46" s="987"/>
      <c r="BOP46" s="987"/>
      <c r="BOQ46" s="987"/>
      <c r="BOR46" s="987"/>
      <c r="BOS46" s="987"/>
      <c r="BOT46" s="987"/>
      <c r="BOU46" s="987"/>
      <c r="BOV46" s="987"/>
      <c r="BOW46" s="987"/>
      <c r="BOX46" s="987"/>
      <c r="BOY46" s="987"/>
      <c r="BOZ46" s="987"/>
      <c r="BPA46" s="987"/>
      <c r="BPB46" s="987"/>
      <c r="BPC46" s="987"/>
      <c r="BPD46" s="987"/>
      <c r="BPE46" s="987"/>
      <c r="BPF46" s="987"/>
      <c r="BPG46" s="987"/>
      <c r="BPH46" s="987"/>
      <c r="BPI46" s="987"/>
      <c r="BPJ46" s="987"/>
      <c r="BPK46" s="987"/>
      <c r="BPL46" s="987"/>
      <c r="BPM46" s="987"/>
      <c r="BPN46" s="987"/>
      <c r="BPO46" s="987"/>
      <c r="BPP46" s="987"/>
      <c r="BPQ46" s="987"/>
      <c r="BPR46" s="987"/>
      <c r="BPS46" s="987"/>
      <c r="BPT46" s="987"/>
      <c r="BPU46" s="987"/>
      <c r="BPV46" s="987"/>
      <c r="BPW46" s="987"/>
      <c r="BPX46" s="987"/>
      <c r="BPY46" s="987"/>
      <c r="BPZ46" s="987"/>
      <c r="BQA46" s="987"/>
      <c r="BQB46" s="987"/>
      <c r="BQC46" s="987"/>
      <c r="BQD46" s="987"/>
      <c r="BQE46" s="987"/>
      <c r="BQF46" s="987"/>
      <c r="BQG46" s="987"/>
      <c r="BQH46" s="987"/>
      <c r="BQI46" s="987"/>
      <c r="BQJ46" s="987"/>
      <c r="BQK46" s="987"/>
      <c r="BQL46" s="987"/>
      <c r="BQM46" s="987"/>
      <c r="BQN46" s="987"/>
      <c r="BQO46" s="987"/>
      <c r="BQP46" s="987"/>
      <c r="BQQ46" s="987"/>
      <c r="BQR46" s="987"/>
      <c r="BQS46" s="987"/>
      <c r="BQT46" s="987"/>
      <c r="BQU46" s="987"/>
      <c r="BQV46" s="987"/>
      <c r="BQW46" s="987"/>
      <c r="BQX46" s="987"/>
      <c r="BQY46" s="987"/>
      <c r="BQZ46" s="987"/>
      <c r="BRA46" s="987"/>
      <c r="BRB46" s="987"/>
      <c r="BRC46" s="987"/>
      <c r="BRD46" s="987"/>
      <c r="BRE46" s="987"/>
      <c r="BRF46" s="987"/>
      <c r="BRG46" s="987"/>
      <c r="BRH46" s="987"/>
      <c r="BRI46" s="987"/>
      <c r="BRJ46" s="987"/>
      <c r="BRK46" s="987"/>
      <c r="BRL46" s="987"/>
      <c r="BRM46" s="987"/>
      <c r="BRN46" s="987"/>
      <c r="BRO46" s="987"/>
      <c r="BRP46" s="987"/>
      <c r="BRQ46" s="987"/>
      <c r="BRR46" s="987"/>
      <c r="BRS46" s="987"/>
      <c r="BRT46" s="987"/>
      <c r="BRU46" s="987"/>
      <c r="BRV46" s="987"/>
      <c r="BRW46" s="987"/>
      <c r="BRX46" s="987"/>
      <c r="BRY46" s="987"/>
      <c r="BRZ46" s="987"/>
      <c r="BSA46" s="987"/>
      <c r="BSB46" s="987"/>
      <c r="BSC46" s="987"/>
      <c r="BSD46" s="987"/>
      <c r="BSE46" s="987"/>
      <c r="BSF46" s="987"/>
      <c r="BSG46" s="987"/>
      <c r="BSH46" s="987"/>
      <c r="BSI46" s="987"/>
      <c r="BSJ46" s="987"/>
      <c r="BSK46" s="987"/>
      <c r="BSL46" s="987"/>
      <c r="BSM46" s="987"/>
      <c r="BSN46" s="987"/>
      <c r="BSO46" s="987"/>
      <c r="BSP46" s="987"/>
      <c r="BSQ46" s="987"/>
      <c r="BSR46" s="987"/>
      <c r="BSS46" s="987"/>
      <c r="BST46" s="987"/>
      <c r="BSU46" s="987"/>
      <c r="BSV46" s="987"/>
      <c r="BSW46" s="987"/>
      <c r="BSX46" s="987"/>
      <c r="BSY46" s="987"/>
      <c r="BSZ46" s="987"/>
      <c r="BTA46" s="987"/>
      <c r="BTB46" s="987"/>
      <c r="BTC46" s="987"/>
      <c r="BTD46" s="987"/>
      <c r="BTE46" s="987"/>
      <c r="BTF46" s="987"/>
      <c r="BTG46" s="987"/>
      <c r="BTH46" s="987"/>
      <c r="BTI46" s="987"/>
      <c r="BTJ46" s="987"/>
      <c r="BTK46" s="987"/>
      <c r="BTL46" s="987"/>
      <c r="BTM46" s="987"/>
      <c r="BTN46" s="987"/>
      <c r="BTO46" s="987"/>
      <c r="BTP46" s="987"/>
      <c r="BTQ46" s="987"/>
      <c r="BTR46" s="987"/>
      <c r="BTS46" s="987"/>
      <c r="BTT46" s="987"/>
      <c r="BTU46" s="987"/>
      <c r="BTV46" s="987"/>
      <c r="BTW46" s="987"/>
      <c r="BTX46" s="987"/>
      <c r="BTY46" s="987"/>
      <c r="BTZ46" s="987"/>
      <c r="BUA46" s="987"/>
      <c r="BUB46" s="987"/>
      <c r="BUC46" s="987"/>
      <c r="BUD46" s="987"/>
      <c r="BUE46" s="987"/>
      <c r="BUF46" s="987"/>
      <c r="BUG46" s="987"/>
      <c r="BUH46" s="987"/>
      <c r="BUI46" s="987"/>
      <c r="BUJ46" s="987"/>
      <c r="BUK46" s="987"/>
      <c r="BUL46" s="987"/>
      <c r="BUM46" s="987"/>
      <c r="BUN46" s="987"/>
      <c r="BUO46" s="987"/>
      <c r="BUP46" s="987"/>
      <c r="BUQ46" s="987"/>
      <c r="BUR46" s="987"/>
      <c r="BUS46" s="987"/>
      <c r="BUT46" s="987"/>
      <c r="BUU46" s="987"/>
      <c r="BUV46" s="987"/>
      <c r="BUW46" s="987"/>
      <c r="BUX46" s="987"/>
      <c r="BUY46" s="987"/>
      <c r="BUZ46" s="987"/>
      <c r="BVA46" s="987"/>
      <c r="BVB46" s="987"/>
      <c r="BVC46" s="987"/>
      <c r="BVD46" s="987"/>
      <c r="BVE46" s="987"/>
      <c r="BVF46" s="987"/>
      <c r="BVG46" s="987"/>
      <c r="BVH46" s="987"/>
      <c r="BVI46" s="987"/>
      <c r="BVJ46" s="987"/>
      <c r="BVK46" s="987"/>
      <c r="BVL46" s="987"/>
      <c r="BVM46" s="987"/>
      <c r="BVN46" s="987"/>
      <c r="BVO46" s="987"/>
      <c r="BVP46" s="987"/>
      <c r="BVQ46" s="987"/>
      <c r="BVR46" s="987"/>
      <c r="BVS46" s="987"/>
      <c r="BVT46" s="987"/>
      <c r="BVU46" s="987"/>
      <c r="BVV46" s="987"/>
      <c r="BVW46" s="987"/>
      <c r="BVX46" s="987"/>
      <c r="BVY46" s="987"/>
      <c r="BVZ46" s="987"/>
      <c r="BWA46" s="987"/>
      <c r="BWB46" s="987"/>
      <c r="BWC46" s="987"/>
      <c r="BWD46" s="987"/>
      <c r="BWE46" s="987"/>
      <c r="BWF46" s="987"/>
      <c r="BWG46" s="987"/>
      <c r="BWH46" s="987"/>
      <c r="BWI46" s="987"/>
      <c r="BWJ46" s="987"/>
      <c r="BWK46" s="987"/>
      <c r="BWL46" s="987"/>
      <c r="BWM46" s="987"/>
      <c r="BWN46" s="987"/>
      <c r="BWO46" s="987"/>
      <c r="BWP46" s="987"/>
      <c r="BWQ46" s="987"/>
      <c r="BWR46" s="987"/>
      <c r="BWS46" s="987"/>
      <c r="BWT46" s="987"/>
      <c r="BWU46" s="987"/>
      <c r="BWV46" s="987"/>
      <c r="BWW46" s="987"/>
      <c r="BWX46" s="987"/>
      <c r="BWY46" s="987"/>
      <c r="BWZ46" s="987"/>
      <c r="BXA46" s="987"/>
      <c r="BXB46" s="987"/>
      <c r="BXC46" s="987"/>
      <c r="BXD46" s="987"/>
      <c r="BXE46" s="987"/>
      <c r="BXF46" s="987"/>
      <c r="BXG46" s="987"/>
      <c r="BXH46" s="987"/>
      <c r="BXI46" s="987"/>
      <c r="BXJ46" s="987"/>
      <c r="BXK46" s="987"/>
      <c r="BXL46" s="987"/>
      <c r="BXM46" s="987"/>
      <c r="BXN46" s="987"/>
      <c r="BXO46" s="987"/>
      <c r="BXP46" s="987"/>
      <c r="BXQ46" s="987"/>
      <c r="BXR46" s="987"/>
      <c r="BXS46" s="987"/>
      <c r="BXT46" s="987"/>
      <c r="BXU46" s="987"/>
      <c r="BXV46" s="987"/>
      <c r="BXW46" s="987"/>
      <c r="BXX46" s="987"/>
      <c r="BXY46" s="987"/>
      <c r="BXZ46" s="987"/>
      <c r="BYA46" s="987"/>
      <c r="BYB46" s="987"/>
      <c r="BYC46" s="987"/>
      <c r="BYD46" s="987"/>
      <c r="BYE46" s="987"/>
      <c r="BYF46" s="987"/>
      <c r="BYG46" s="987"/>
      <c r="BYH46" s="987"/>
      <c r="BYI46" s="987"/>
      <c r="BYJ46" s="987"/>
      <c r="BYK46" s="987"/>
      <c r="BYL46" s="987"/>
      <c r="BYM46" s="987"/>
      <c r="BYN46" s="987"/>
      <c r="BYO46" s="987"/>
      <c r="BYP46" s="987"/>
      <c r="BYQ46" s="987"/>
      <c r="BYR46" s="987"/>
      <c r="BYS46" s="987"/>
      <c r="BYT46" s="987"/>
      <c r="BYU46" s="987"/>
      <c r="BYV46" s="987"/>
      <c r="BYW46" s="987"/>
      <c r="BYX46" s="987"/>
      <c r="BYY46" s="987"/>
      <c r="BYZ46" s="987"/>
      <c r="BZA46" s="987"/>
      <c r="BZB46" s="987"/>
      <c r="BZC46" s="987"/>
      <c r="BZD46" s="987"/>
      <c r="BZE46" s="987"/>
      <c r="BZF46" s="987"/>
      <c r="BZG46" s="987"/>
      <c r="BZH46" s="987"/>
      <c r="BZI46" s="987"/>
      <c r="BZJ46" s="987"/>
      <c r="BZK46" s="987"/>
      <c r="BZL46" s="987"/>
      <c r="BZM46" s="987"/>
      <c r="BZN46" s="987"/>
      <c r="BZO46" s="987"/>
      <c r="BZP46" s="987"/>
      <c r="BZQ46" s="987"/>
      <c r="BZR46" s="987"/>
      <c r="BZS46" s="987"/>
      <c r="BZT46" s="987"/>
      <c r="BZU46" s="987"/>
      <c r="BZV46" s="987"/>
      <c r="BZW46" s="987"/>
      <c r="BZX46" s="987"/>
      <c r="BZY46" s="987"/>
      <c r="BZZ46" s="987"/>
      <c r="CAA46" s="987"/>
      <c r="CAB46" s="987"/>
      <c r="CAC46" s="987"/>
      <c r="CAD46" s="987"/>
      <c r="CAE46" s="987"/>
      <c r="CAF46" s="987"/>
      <c r="CAG46" s="987"/>
      <c r="CAH46" s="987"/>
      <c r="CAI46" s="987"/>
      <c r="CAJ46" s="987"/>
      <c r="CAK46" s="987"/>
      <c r="CAL46" s="987"/>
      <c r="CAM46" s="987"/>
      <c r="CAN46" s="987"/>
      <c r="CAO46" s="987"/>
      <c r="CAP46" s="987"/>
      <c r="CAQ46" s="987"/>
      <c r="CAR46" s="987"/>
      <c r="CAS46" s="987"/>
      <c r="CAT46" s="987"/>
      <c r="CAU46" s="987"/>
      <c r="CAV46" s="987"/>
      <c r="CAW46" s="987"/>
      <c r="CAX46" s="987"/>
      <c r="CAY46" s="987"/>
      <c r="CAZ46" s="987"/>
      <c r="CBA46" s="987"/>
      <c r="CBB46" s="987"/>
      <c r="CBC46" s="987"/>
      <c r="CBD46" s="987"/>
      <c r="CBE46" s="987"/>
      <c r="CBF46" s="987"/>
      <c r="CBG46" s="987"/>
      <c r="CBH46" s="987"/>
      <c r="CBI46" s="987"/>
      <c r="CBJ46" s="987"/>
      <c r="CBK46" s="987"/>
      <c r="CBL46" s="987"/>
      <c r="CBM46" s="987"/>
      <c r="CBN46" s="987"/>
      <c r="CBO46" s="987"/>
      <c r="CBP46" s="987"/>
      <c r="CBQ46" s="987"/>
      <c r="CBR46" s="987"/>
      <c r="CBS46" s="987"/>
      <c r="CBT46" s="987"/>
      <c r="CBU46" s="987"/>
      <c r="CBV46" s="987"/>
      <c r="CBW46" s="987"/>
      <c r="CBX46" s="987"/>
      <c r="CBY46" s="987"/>
      <c r="CBZ46" s="987"/>
      <c r="CCA46" s="987"/>
      <c r="CCB46" s="987"/>
      <c r="CCC46" s="987"/>
      <c r="CCD46" s="987"/>
      <c r="CCE46" s="987"/>
      <c r="CCF46" s="987"/>
      <c r="CCG46" s="987"/>
      <c r="CCH46" s="987"/>
      <c r="CCI46" s="987"/>
      <c r="CCJ46" s="987"/>
      <c r="CCK46" s="987"/>
      <c r="CCL46" s="987"/>
      <c r="CCM46" s="987"/>
      <c r="CCN46" s="987"/>
      <c r="CCO46" s="987"/>
      <c r="CCP46" s="987"/>
      <c r="CCQ46" s="987"/>
      <c r="CCR46" s="987"/>
      <c r="CCS46" s="987"/>
      <c r="CCT46" s="987"/>
      <c r="CCU46" s="987"/>
      <c r="CCV46" s="987"/>
      <c r="CCW46" s="987"/>
      <c r="CCX46" s="987"/>
      <c r="CCY46" s="987"/>
      <c r="CCZ46" s="987"/>
      <c r="CDA46" s="987"/>
      <c r="CDB46" s="987"/>
      <c r="CDC46" s="987"/>
      <c r="CDD46" s="987"/>
      <c r="CDE46" s="987"/>
      <c r="CDF46" s="987"/>
      <c r="CDG46" s="987"/>
      <c r="CDH46" s="987"/>
      <c r="CDI46" s="987"/>
      <c r="CDJ46" s="987"/>
      <c r="CDK46" s="987"/>
      <c r="CDL46" s="987"/>
      <c r="CDM46" s="987"/>
      <c r="CDN46" s="987"/>
      <c r="CDO46" s="987"/>
      <c r="CDP46" s="987"/>
      <c r="CDQ46" s="987"/>
      <c r="CDR46" s="987"/>
      <c r="CDS46" s="987"/>
      <c r="CDT46" s="987"/>
      <c r="CDU46" s="987"/>
      <c r="CDV46" s="987"/>
      <c r="CDW46" s="987"/>
      <c r="CDX46" s="987"/>
      <c r="CDY46" s="987"/>
      <c r="CDZ46" s="987"/>
      <c r="CEA46" s="987"/>
      <c r="CEB46" s="987"/>
      <c r="CEC46" s="987"/>
      <c r="CED46" s="987"/>
      <c r="CEE46" s="987"/>
      <c r="CEF46" s="987"/>
      <c r="CEG46" s="987"/>
      <c r="CEH46" s="987"/>
      <c r="CEI46" s="987"/>
      <c r="CEJ46" s="987"/>
      <c r="CEK46" s="987"/>
      <c r="CEL46" s="987"/>
      <c r="CEM46" s="987"/>
      <c r="CEN46" s="987"/>
      <c r="CEO46" s="987"/>
      <c r="CEP46" s="987"/>
      <c r="CEQ46" s="987"/>
      <c r="CER46" s="987"/>
      <c r="CES46" s="987"/>
      <c r="CET46" s="987"/>
      <c r="CEU46" s="987"/>
      <c r="CEV46" s="987"/>
      <c r="CEW46" s="987"/>
      <c r="CEX46" s="987"/>
      <c r="CEY46" s="987"/>
      <c r="CEZ46" s="987"/>
      <c r="CFA46" s="987"/>
      <c r="CFB46" s="987"/>
      <c r="CFC46" s="987"/>
      <c r="CFD46" s="987"/>
      <c r="CFE46" s="987"/>
      <c r="CFF46" s="987"/>
      <c r="CFG46" s="987"/>
      <c r="CFH46" s="987"/>
      <c r="CFI46" s="987"/>
      <c r="CFJ46" s="987"/>
      <c r="CFK46" s="987"/>
      <c r="CFL46" s="987"/>
      <c r="CFM46" s="987"/>
      <c r="CFN46" s="987"/>
      <c r="CFO46" s="987"/>
      <c r="CFP46" s="987"/>
      <c r="CFQ46" s="987"/>
      <c r="CFR46" s="987"/>
      <c r="CFS46" s="987"/>
      <c r="CFT46" s="987"/>
      <c r="CFU46" s="987"/>
      <c r="CFV46" s="987"/>
      <c r="CFW46" s="987"/>
      <c r="CFX46" s="987"/>
      <c r="CFY46" s="987"/>
      <c r="CFZ46" s="987"/>
      <c r="CGA46" s="987"/>
      <c r="CGB46" s="987"/>
      <c r="CGC46" s="987"/>
      <c r="CGD46" s="987"/>
      <c r="CGE46" s="987"/>
      <c r="CGF46" s="987"/>
      <c r="CGG46" s="987"/>
      <c r="CGH46" s="987"/>
      <c r="CGI46" s="987"/>
      <c r="CGJ46" s="987"/>
      <c r="CGK46" s="987"/>
      <c r="CGL46" s="987"/>
      <c r="CGM46" s="987"/>
      <c r="CGN46" s="987"/>
      <c r="CGO46" s="987"/>
      <c r="CGP46" s="987"/>
      <c r="CGQ46" s="987"/>
      <c r="CGR46" s="987"/>
      <c r="CGS46" s="987"/>
      <c r="CGT46" s="987"/>
      <c r="CGU46" s="987"/>
      <c r="CGV46" s="987"/>
      <c r="CGW46" s="987"/>
      <c r="CGX46" s="987"/>
      <c r="CGY46" s="987"/>
      <c r="CGZ46" s="987"/>
      <c r="CHA46" s="987"/>
      <c r="CHB46" s="987"/>
      <c r="CHC46" s="987"/>
      <c r="CHD46" s="987"/>
      <c r="CHE46" s="987"/>
      <c r="CHF46" s="987"/>
      <c r="CHG46" s="987"/>
      <c r="CHH46" s="987"/>
      <c r="CHI46" s="987"/>
      <c r="CHJ46" s="987"/>
      <c r="CHK46" s="987"/>
      <c r="CHL46" s="987"/>
      <c r="CHM46" s="987"/>
      <c r="CHN46" s="987"/>
      <c r="CHO46" s="987"/>
      <c r="CHP46" s="987"/>
      <c r="CHQ46" s="987"/>
      <c r="CHR46" s="987"/>
      <c r="CHS46" s="987"/>
      <c r="CHT46" s="987"/>
      <c r="CHU46" s="987"/>
      <c r="CHV46" s="987"/>
      <c r="CHW46" s="987"/>
      <c r="CHX46" s="987"/>
      <c r="CHY46" s="987"/>
      <c r="CHZ46" s="987"/>
      <c r="CIA46" s="987"/>
      <c r="CIB46" s="987"/>
      <c r="CIC46" s="987"/>
      <c r="CID46" s="987"/>
      <c r="CIE46" s="987"/>
      <c r="CIF46" s="987"/>
      <c r="CIG46" s="987"/>
      <c r="CIH46" s="987"/>
      <c r="CII46" s="987"/>
      <c r="CIJ46" s="987"/>
      <c r="CIK46" s="987"/>
      <c r="CIL46" s="987"/>
      <c r="CIM46" s="987"/>
      <c r="CIN46" s="987"/>
      <c r="CIO46" s="987"/>
      <c r="CIP46" s="987"/>
      <c r="CIQ46" s="987"/>
      <c r="CIR46" s="987"/>
      <c r="CIS46" s="987"/>
      <c r="CIT46" s="987"/>
      <c r="CIU46" s="987"/>
      <c r="CIV46" s="987"/>
      <c r="CIW46" s="987"/>
      <c r="CIX46" s="987"/>
      <c r="CIY46" s="987"/>
      <c r="CIZ46" s="987"/>
      <c r="CJA46" s="987"/>
      <c r="CJB46" s="987"/>
      <c r="CJC46" s="987"/>
      <c r="CJD46" s="987"/>
      <c r="CJE46" s="987"/>
      <c r="CJF46" s="987"/>
      <c r="CJG46" s="987"/>
      <c r="CJH46" s="987"/>
      <c r="CJI46" s="987"/>
      <c r="CJJ46" s="987"/>
      <c r="CJK46" s="987"/>
      <c r="CJL46" s="987"/>
      <c r="CJM46" s="987"/>
      <c r="CJN46" s="987"/>
      <c r="CJO46" s="987"/>
      <c r="CJP46" s="987"/>
      <c r="CJQ46" s="987"/>
      <c r="CJR46" s="987"/>
      <c r="CJS46" s="987"/>
      <c r="CJT46" s="987"/>
      <c r="CJU46" s="987"/>
      <c r="CJV46" s="987"/>
      <c r="CJW46" s="987"/>
      <c r="CJX46" s="987"/>
      <c r="CJY46" s="987"/>
      <c r="CJZ46" s="987"/>
      <c r="CKA46" s="987"/>
      <c r="CKB46" s="987"/>
      <c r="CKC46" s="987"/>
      <c r="CKD46" s="987"/>
      <c r="CKE46" s="987"/>
      <c r="CKF46" s="987"/>
      <c r="CKG46" s="987"/>
      <c r="CKH46" s="987"/>
      <c r="CKI46" s="987"/>
      <c r="CKJ46" s="987"/>
      <c r="CKK46" s="987"/>
      <c r="CKL46" s="987"/>
      <c r="CKM46" s="987"/>
      <c r="CKN46" s="987"/>
      <c r="CKO46" s="987"/>
      <c r="CKP46" s="987"/>
      <c r="CKQ46" s="987"/>
      <c r="CKR46" s="987"/>
      <c r="CKS46" s="987"/>
      <c r="CKT46" s="987"/>
      <c r="CKU46" s="987"/>
      <c r="CKV46" s="987"/>
      <c r="CKW46" s="987"/>
      <c r="CKX46" s="987"/>
      <c r="CKY46" s="987"/>
      <c r="CKZ46" s="987"/>
      <c r="CLA46" s="987"/>
      <c r="CLB46" s="987"/>
      <c r="CLC46" s="987"/>
      <c r="CLD46" s="987"/>
      <c r="CLE46" s="987"/>
      <c r="CLF46" s="987"/>
      <c r="CLG46" s="987"/>
      <c r="CLH46" s="987"/>
      <c r="CLI46" s="987"/>
      <c r="CLJ46" s="987"/>
      <c r="CLK46" s="987"/>
      <c r="CLL46" s="987"/>
      <c r="CLM46" s="987"/>
      <c r="CLN46" s="987"/>
      <c r="CLO46" s="987"/>
      <c r="CLP46" s="987"/>
      <c r="CLQ46" s="987"/>
      <c r="CLR46" s="987"/>
      <c r="CLS46" s="987"/>
      <c r="CLT46" s="987"/>
      <c r="CLU46" s="987"/>
      <c r="CLV46" s="987"/>
      <c r="CLW46" s="987"/>
      <c r="CLX46" s="987"/>
      <c r="CLY46" s="987"/>
      <c r="CLZ46" s="987"/>
      <c r="CMA46" s="987"/>
      <c r="CMB46" s="987"/>
      <c r="CMC46" s="987"/>
      <c r="CMD46" s="987"/>
      <c r="CME46" s="987"/>
      <c r="CMF46" s="987"/>
      <c r="CMG46" s="987"/>
      <c r="CMH46" s="987"/>
      <c r="CMI46" s="987"/>
      <c r="CMJ46" s="987"/>
      <c r="CMK46" s="987"/>
      <c r="CML46" s="987"/>
      <c r="CMM46" s="987"/>
      <c r="CMN46" s="987"/>
      <c r="CMO46" s="987"/>
      <c r="CMP46" s="987"/>
      <c r="CMQ46" s="987"/>
      <c r="CMR46" s="987"/>
      <c r="CMS46" s="987"/>
      <c r="CMT46" s="987"/>
      <c r="CMU46" s="987"/>
      <c r="CMV46" s="987"/>
      <c r="CMW46" s="987"/>
      <c r="CMX46" s="987"/>
      <c r="CMY46" s="987"/>
      <c r="CMZ46" s="987"/>
      <c r="CNA46" s="987"/>
      <c r="CNB46" s="987"/>
      <c r="CNC46" s="987"/>
      <c r="CND46" s="987"/>
      <c r="CNE46" s="987"/>
      <c r="CNF46" s="987"/>
      <c r="CNG46" s="987"/>
      <c r="CNH46" s="987"/>
      <c r="CNI46" s="987"/>
      <c r="CNJ46" s="987"/>
      <c r="CNK46" s="987"/>
      <c r="CNL46" s="987"/>
      <c r="CNM46" s="987"/>
      <c r="CNN46" s="987"/>
      <c r="CNO46" s="987"/>
      <c r="CNP46" s="987"/>
      <c r="CNQ46" s="987"/>
      <c r="CNR46" s="987"/>
      <c r="CNS46" s="987"/>
      <c r="CNT46" s="987"/>
      <c r="CNU46" s="987"/>
      <c r="CNV46" s="987"/>
      <c r="CNW46" s="987"/>
      <c r="CNX46" s="987"/>
      <c r="CNY46" s="987"/>
      <c r="CNZ46" s="987"/>
      <c r="COA46" s="987"/>
      <c r="COB46" s="987"/>
      <c r="COC46" s="987"/>
      <c r="COD46" s="987"/>
      <c r="COE46" s="987"/>
      <c r="COF46" s="987"/>
      <c r="COG46" s="987"/>
      <c r="COH46" s="987"/>
      <c r="COI46" s="987"/>
      <c r="COJ46" s="987"/>
      <c r="COK46" s="987"/>
      <c r="COL46" s="987"/>
      <c r="COM46" s="987"/>
      <c r="CON46" s="987"/>
      <c r="COO46" s="987"/>
      <c r="COP46" s="987"/>
      <c r="COQ46" s="987"/>
      <c r="COR46" s="987"/>
      <c r="COS46" s="987"/>
      <c r="COT46" s="987"/>
      <c r="COU46" s="987"/>
      <c r="COV46" s="987"/>
      <c r="COW46" s="987"/>
      <c r="COX46" s="987"/>
      <c r="COY46" s="987"/>
      <c r="COZ46" s="987"/>
      <c r="CPA46" s="987"/>
      <c r="CPB46" s="987"/>
      <c r="CPC46" s="987"/>
      <c r="CPD46" s="987"/>
      <c r="CPE46" s="987"/>
      <c r="CPF46" s="987"/>
      <c r="CPG46" s="987"/>
      <c r="CPH46" s="987"/>
      <c r="CPI46" s="987"/>
      <c r="CPJ46" s="987"/>
      <c r="CPK46" s="987"/>
      <c r="CPL46" s="987"/>
      <c r="CPM46" s="987"/>
      <c r="CPN46" s="987"/>
      <c r="CPO46" s="987"/>
      <c r="CPP46" s="987"/>
      <c r="CPQ46" s="987"/>
      <c r="CPR46" s="987"/>
      <c r="CPS46" s="987"/>
      <c r="CPT46" s="987"/>
      <c r="CPU46" s="987"/>
      <c r="CPV46" s="987"/>
      <c r="CPW46" s="987"/>
      <c r="CPX46" s="987"/>
      <c r="CPY46" s="987"/>
      <c r="CPZ46" s="987"/>
      <c r="CQA46" s="987"/>
      <c r="CQB46" s="987"/>
      <c r="CQC46" s="987"/>
      <c r="CQD46" s="987"/>
      <c r="CQE46" s="987"/>
      <c r="CQF46" s="987"/>
      <c r="CQG46" s="987"/>
      <c r="CQH46" s="987"/>
      <c r="CQI46" s="987"/>
      <c r="CQJ46" s="987"/>
      <c r="CQK46" s="987"/>
      <c r="CQL46" s="987"/>
      <c r="CQM46" s="987"/>
      <c r="CQN46" s="987"/>
      <c r="CQO46" s="987"/>
      <c r="CQP46" s="987"/>
      <c r="CQQ46" s="987"/>
      <c r="CQR46" s="987"/>
      <c r="CQS46" s="987"/>
      <c r="CQT46" s="987"/>
      <c r="CQU46" s="987"/>
      <c r="CQV46" s="987"/>
      <c r="CQW46" s="987"/>
      <c r="CQX46" s="987"/>
      <c r="CQY46" s="987"/>
      <c r="CQZ46" s="987"/>
      <c r="CRA46" s="987"/>
      <c r="CRB46" s="987"/>
      <c r="CRC46" s="987"/>
      <c r="CRD46" s="987"/>
      <c r="CRE46" s="987"/>
      <c r="CRF46" s="987"/>
      <c r="CRG46" s="987"/>
      <c r="CRH46" s="987"/>
      <c r="CRI46" s="987"/>
      <c r="CRJ46" s="987"/>
      <c r="CRK46" s="987"/>
      <c r="CRL46" s="987"/>
      <c r="CRM46" s="987"/>
      <c r="CRN46" s="987"/>
      <c r="CRO46" s="987"/>
      <c r="CRP46" s="987"/>
      <c r="CRQ46" s="987"/>
      <c r="CRR46" s="987"/>
      <c r="CRS46" s="987"/>
      <c r="CRT46" s="987"/>
      <c r="CRU46" s="987"/>
      <c r="CRV46" s="987"/>
      <c r="CRW46" s="987"/>
      <c r="CRX46" s="987"/>
      <c r="CRY46" s="987"/>
      <c r="CRZ46" s="987"/>
      <c r="CSA46" s="987"/>
      <c r="CSB46" s="987"/>
      <c r="CSC46" s="987"/>
      <c r="CSD46" s="987"/>
      <c r="CSE46" s="987"/>
      <c r="CSF46" s="987"/>
      <c r="CSG46" s="987"/>
      <c r="CSH46" s="987"/>
      <c r="CSI46" s="987"/>
      <c r="CSJ46" s="987"/>
      <c r="CSK46" s="987"/>
      <c r="CSL46" s="987"/>
      <c r="CSM46" s="987"/>
      <c r="CSN46" s="987"/>
      <c r="CSO46" s="987"/>
      <c r="CSP46" s="987"/>
      <c r="CSQ46" s="987"/>
      <c r="CSR46" s="987"/>
      <c r="CSS46" s="987"/>
      <c r="CST46" s="987"/>
      <c r="CSU46" s="987"/>
      <c r="CSV46" s="987"/>
      <c r="CSW46" s="987"/>
      <c r="CSX46" s="987"/>
      <c r="CSY46" s="987"/>
      <c r="CSZ46" s="987"/>
      <c r="CTA46" s="987"/>
      <c r="CTB46" s="987"/>
      <c r="CTC46" s="987"/>
      <c r="CTD46" s="987"/>
      <c r="CTE46" s="987"/>
      <c r="CTF46" s="987"/>
      <c r="CTG46" s="987"/>
      <c r="CTH46" s="987"/>
      <c r="CTI46" s="987"/>
      <c r="CTJ46" s="987"/>
      <c r="CTK46" s="987"/>
      <c r="CTL46" s="987"/>
      <c r="CTM46" s="987"/>
      <c r="CTN46" s="987"/>
      <c r="CTO46" s="987"/>
      <c r="CTP46" s="987"/>
      <c r="CTQ46" s="987"/>
      <c r="CTR46" s="987"/>
      <c r="CTS46" s="987"/>
      <c r="CTT46" s="987"/>
      <c r="CTU46" s="987"/>
      <c r="CTV46" s="987"/>
      <c r="CTW46" s="987"/>
      <c r="CTX46" s="987"/>
      <c r="CTY46" s="987"/>
      <c r="CTZ46" s="987"/>
      <c r="CUA46" s="987"/>
      <c r="CUB46" s="987"/>
      <c r="CUC46" s="987"/>
      <c r="CUD46" s="987"/>
      <c r="CUE46" s="987"/>
      <c r="CUF46" s="987"/>
      <c r="CUG46" s="987"/>
      <c r="CUH46" s="987"/>
      <c r="CUI46" s="987"/>
      <c r="CUJ46" s="987"/>
      <c r="CUK46" s="987"/>
      <c r="CUL46" s="987"/>
      <c r="CUM46" s="987"/>
      <c r="CUN46" s="987"/>
      <c r="CUO46" s="987"/>
      <c r="CUP46" s="987"/>
      <c r="CUQ46" s="987"/>
      <c r="CUR46" s="987"/>
      <c r="CUS46" s="987"/>
      <c r="CUT46" s="987"/>
      <c r="CUU46" s="987"/>
      <c r="CUV46" s="987"/>
      <c r="CUW46" s="987"/>
      <c r="CUX46" s="987"/>
      <c r="CUY46" s="987"/>
      <c r="CUZ46" s="987"/>
      <c r="CVA46" s="987"/>
      <c r="CVB46" s="987"/>
      <c r="CVC46" s="987"/>
      <c r="CVD46" s="987"/>
      <c r="CVE46" s="987"/>
      <c r="CVF46" s="987"/>
      <c r="CVG46" s="987"/>
      <c r="CVH46" s="987"/>
      <c r="CVI46" s="987"/>
      <c r="CVJ46" s="987"/>
      <c r="CVK46" s="987"/>
      <c r="CVL46" s="987"/>
      <c r="CVM46" s="987"/>
      <c r="CVN46" s="987"/>
      <c r="CVO46" s="987"/>
      <c r="CVP46" s="987"/>
      <c r="CVQ46" s="987"/>
      <c r="CVR46" s="987"/>
      <c r="CVS46" s="987"/>
      <c r="CVT46" s="987"/>
      <c r="CVU46" s="987"/>
      <c r="CVV46" s="987"/>
      <c r="CVW46" s="987"/>
      <c r="CVX46" s="987"/>
      <c r="CVY46" s="987"/>
      <c r="CVZ46" s="987"/>
      <c r="CWA46" s="987"/>
      <c r="CWB46" s="987"/>
      <c r="CWC46" s="987"/>
      <c r="CWD46" s="987"/>
      <c r="CWE46" s="987"/>
      <c r="CWF46" s="987"/>
      <c r="CWG46" s="987"/>
      <c r="CWH46" s="987"/>
      <c r="CWI46" s="987"/>
      <c r="CWJ46" s="987"/>
      <c r="CWK46" s="987"/>
      <c r="CWL46" s="987"/>
      <c r="CWM46" s="987"/>
      <c r="CWN46" s="987"/>
      <c r="CWO46" s="987"/>
      <c r="CWP46" s="987"/>
      <c r="CWQ46" s="987"/>
      <c r="CWR46" s="987"/>
      <c r="CWS46" s="987"/>
      <c r="CWT46" s="987"/>
      <c r="CWU46" s="987"/>
      <c r="CWV46" s="987"/>
      <c r="CWW46" s="987"/>
      <c r="CWX46" s="987"/>
      <c r="CWY46" s="987"/>
      <c r="CWZ46" s="987"/>
      <c r="CXA46" s="987"/>
      <c r="CXB46" s="987"/>
      <c r="CXC46" s="987"/>
      <c r="CXD46" s="987"/>
      <c r="CXE46" s="987"/>
      <c r="CXF46" s="987"/>
      <c r="CXG46" s="987"/>
      <c r="CXH46" s="987"/>
      <c r="CXI46" s="987"/>
      <c r="CXJ46" s="987"/>
      <c r="CXK46" s="987"/>
      <c r="CXL46" s="987"/>
      <c r="CXM46" s="987"/>
      <c r="CXN46" s="987"/>
      <c r="CXO46" s="987"/>
      <c r="CXP46" s="987"/>
      <c r="CXQ46" s="987"/>
      <c r="CXR46" s="987"/>
      <c r="CXS46" s="987"/>
      <c r="CXT46" s="987"/>
      <c r="CXU46" s="987"/>
      <c r="CXV46" s="987"/>
      <c r="CXW46" s="987"/>
      <c r="CXX46" s="987"/>
      <c r="CXY46" s="987"/>
      <c r="CXZ46" s="987"/>
      <c r="CYA46" s="987"/>
      <c r="CYB46" s="987"/>
      <c r="CYC46" s="987"/>
      <c r="CYD46" s="987"/>
      <c r="CYE46" s="987"/>
      <c r="CYF46" s="987"/>
      <c r="CYG46" s="987"/>
      <c r="CYH46" s="987"/>
      <c r="CYI46" s="987"/>
      <c r="CYJ46" s="987"/>
      <c r="CYK46" s="987"/>
      <c r="CYL46" s="987"/>
      <c r="CYM46" s="987"/>
      <c r="CYN46" s="987"/>
      <c r="CYO46" s="987"/>
      <c r="CYP46" s="987"/>
      <c r="CYQ46" s="987"/>
      <c r="CYR46" s="987"/>
      <c r="CYS46" s="987"/>
      <c r="CYT46" s="987"/>
      <c r="CYU46" s="987"/>
      <c r="CYV46" s="987"/>
      <c r="CYW46" s="987"/>
      <c r="CYX46" s="987"/>
      <c r="CYY46" s="987"/>
      <c r="CYZ46" s="987"/>
      <c r="CZA46" s="987"/>
      <c r="CZB46" s="987"/>
      <c r="CZC46" s="987"/>
      <c r="CZD46" s="987"/>
      <c r="CZE46" s="987"/>
      <c r="CZF46" s="987"/>
      <c r="CZG46" s="987"/>
      <c r="CZH46" s="987"/>
      <c r="CZI46" s="987"/>
      <c r="CZJ46" s="987"/>
      <c r="CZK46" s="987"/>
      <c r="CZL46" s="987"/>
      <c r="CZM46" s="987"/>
      <c r="CZN46" s="987"/>
      <c r="CZO46" s="987"/>
      <c r="CZP46" s="987"/>
      <c r="CZQ46" s="987"/>
      <c r="CZR46" s="987"/>
      <c r="CZS46" s="987"/>
      <c r="CZT46" s="987"/>
      <c r="CZU46" s="987"/>
      <c r="CZV46" s="987"/>
      <c r="CZW46" s="987"/>
      <c r="CZX46" s="987"/>
      <c r="CZY46" s="987"/>
      <c r="CZZ46" s="987"/>
      <c r="DAA46" s="987"/>
      <c r="DAB46" s="987"/>
      <c r="DAC46" s="987"/>
      <c r="DAD46" s="987"/>
      <c r="DAE46" s="987"/>
      <c r="DAF46" s="987"/>
      <c r="DAG46" s="987"/>
      <c r="DAH46" s="987"/>
      <c r="DAI46" s="987"/>
      <c r="DAJ46" s="987"/>
      <c r="DAK46" s="987"/>
      <c r="DAL46" s="987"/>
      <c r="DAM46" s="987"/>
      <c r="DAN46" s="987"/>
      <c r="DAO46" s="987"/>
      <c r="DAP46" s="987"/>
      <c r="DAQ46" s="987"/>
      <c r="DAR46" s="987"/>
      <c r="DAS46" s="987"/>
      <c r="DAT46" s="987"/>
      <c r="DAU46" s="987"/>
      <c r="DAV46" s="987"/>
      <c r="DAW46" s="987"/>
      <c r="DAX46" s="987"/>
      <c r="DAY46" s="987"/>
      <c r="DAZ46" s="987"/>
      <c r="DBA46" s="987"/>
      <c r="DBB46" s="987"/>
      <c r="DBC46" s="987"/>
      <c r="DBD46" s="987"/>
      <c r="DBE46" s="987"/>
      <c r="DBF46" s="987"/>
      <c r="DBG46" s="987"/>
      <c r="DBH46" s="987"/>
      <c r="DBI46" s="987"/>
      <c r="DBJ46" s="987"/>
      <c r="DBK46" s="987"/>
      <c r="DBL46" s="987"/>
      <c r="DBM46" s="987"/>
      <c r="DBN46" s="987"/>
      <c r="DBO46" s="987"/>
      <c r="DBP46" s="987"/>
      <c r="DBQ46" s="987"/>
      <c r="DBR46" s="987"/>
      <c r="DBS46" s="987"/>
      <c r="DBT46" s="987"/>
      <c r="DBU46" s="987"/>
      <c r="DBV46" s="987"/>
      <c r="DBW46" s="987"/>
      <c r="DBX46" s="987"/>
      <c r="DBY46" s="987"/>
      <c r="DBZ46" s="987"/>
      <c r="DCA46" s="987"/>
      <c r="DCB46" s="987"/>
      <c r="DCC46" s="987"/>
      <c r="DCD46" s="987"/>
      <c r="DCE46" s="987"/>
      <c r="DCF46" s="987"/>
      <c r="DCG46" s="987"/>
      <c r="DCH46" s="987"/>
      <c r="DCI46" s="987"/>
      <c r="DCJ46" s="987"/>
      <c r="DCK46" s="987"/>
      <c r="DCL46" s="987"/>
      <c r="DCM46" s="987"/>
      <c r="DCN46" s="987"/>
      <c r="DCO46" s="987"/>
      <c r="DCP46" s="987"/>
      <c r="DCQ46" s="987"/>
      <c r="DCR46" s="987"/>
      <c r="DCS46" s="987"/>
      <c r="DCT46" s="987"/>
      <c r="DCU46" s="987"/>
      <c r="DCV46" s="987"/>
      <c r="DCW46" s="987"/>
      <c r="DCX46" s="987"/>
      <c r="DCY46" s="987"/>
      <c r="DCZ46" s="987"/>
      <c r="DDA46" s="987"/>
      <c r="DDB46" s="987"/>
      <c r="DDC46" s="987"/>
      <c r="DDD46" s="987"/>
      <c r="DDE46" s="987"/>
      <c r="DDF46" s="987"/>
      <c r="DDG46" s="987"/>
      <c r="DDH46" s="987"/>
      <c r="DDI46" s="987"/>
      <c r="DDJ46" s="987"/>
      <c r="DDK46" s="987"/>
      <c r="DDL46" s="987"/>
      <c r="DDM46" s="987"/>
      <c r="DDN46" s="987"/>
      <c r="DDO46" s="987"/>
      <c r="DDP46" s="987"/>
      <c r="DDQ46" s="987"/>
      <c r="DDR46" s="987"/>
      <c r="DDS46" s="987"/>
      <c r="DDT46" s="987"/>
      <c r="DDU46" s="987"/>
      <c r="DDV46" s="987"/>
      <c r="DDW46" s="987"/>
      <c r="DDX46" s="987"/>
      <c r="DDY46" s="987"/>
      <c r="DDZ46" s="987"/>
      <c r="DEA46" s="987"/>
      <c r="DEB46" s="987"/>
      <c r="DEC46" s="987"/>
      <c r="DED46" s="987"/>
      <c r="DEE46" s="987"/>
      <c r="DEF46" s="987"/>
      <c r="DEG46" s="987"/>
      <c r="DEH46" s="987"/>
      <c r="DEI46" s="987"/>
      <c r="DEJ46" s="987"/>
      <c r="DEK46" s="987"/>
      <c r="DEL46" s="987"/>
      <c r="DEM46" s="987"/>
      <c r="DEN46" s="987"/>
      <c r="DEO46" s="987"/>
      <c r="DEP46" s="987"/>
      <c r="DEQ46" s="987"/>
      <c r="DER46" s="987"/>
      <c r="DES46" s="987"/>
      <c r="DET46" s="987"/>
      <c r="DEU46" s="987"/>
      <c r="DEV46" s="987"/>
      <c r="DEW46" s="987"/>
      <c r="DEX46" s="987"/>
      <c r="DEY46" s="987"/>
      <c r="DEZ46" s="987"/>
      <c r="DFA46" s="987"/>
      <c r="DFB46" s="987"/>
      <c r="DFC46" s="987"/>
      <c r="DFD46" s="987"/>
      <c r="DFE46" s="987"/>
      <c r="DFF46" s="987"/>
      <c r="DFG46" s="987"/>
      <c r="DFH46" s="987"/>
      <c r="DFI46" s="987"/>
      <c r="DFJ46" s="987"/>
      <c r="DFK46" s="987"/>
      <c r="DFL46" s="987"/>
      <c r="DFM46" s="987"/>
      <c r="DFN46" s="987"/>
      <c r="DFO46" s="987"/>
      <c r="DFP46" s="987"/>
      <c r="DFQ46" s="987"/>
      <c r="DFR46" s="987"/>
      <c r="DFS46" s="987"/>
      <c r="DFT46" s="987"/>
      <c r="DFU46" s="987"/>
      <c r="DFV46" s="987"/>
      <c r="DFW46" s="987"/>
      <c r="DFX46" s="987"/>
      <c r="DFY46" s="987"/>
      <c r="DFZ46" s="987"/>
      <c r="DGA46" s="987"/>
      <c r="DGB46" s="987"/>
      <c r="DGC46" s="987"/>
      <c r="DGD46" s="987"/>
      <c r="DGE46" s="987"/>
      <c r="DGF46" s="987"/>
      <c r="DGG46" s="987"/>
      <c r="DGH46" s="987"/>
      <c r="DGI46" s="987"/>
      <c r="DGJ46" s="987"/>
      <c r="DGK46" s="987"/>
      <c r="DGL46" s="987"/>
      <c r="DGM46" s="987"/>
      <c r="DGN46" s="987"/>
      <c r="DGO46" s="987"/>
      <c r="DGP46" s="987"/>
      <c r="DGQ46" s="987"/>
      <c r="DGR46" s="987"/>
      <c r="DGS46" s="987"/>
      <c r="DGT46" s="987"/>
      <c r="DGU46" s="987"/>
      <c r="DGV46" s="987"/>
      <c r="DGW46" s="987"/>
      <c r="DGX46" s="987"/>
      <c r="DGY46" s="987"/>
      <c r="DGZ46" s="987"/>
      <c r="DHA46" s="987"/>
      <c r="DHB46" s="987"/>
      <c r="DHC46" s="987"/>
      <c r="DHD46" s="987"/>
      <c r="DHE46" s="987"/>
      <c r="DHF46" s="987"/>
      <c r="DHG46" s="987"/>
      <c r="DHH46" s="987"/>
      <c r="DHI46" s="987"/>
      <c r="DHJ46" s="987"/>
      <c r="DHK46" s="987"/>
      <c r="DHL46" s="987"/>
      <c r="DHM46" s="987"/>
      <c r="DHN46" s="987"/>
      <c r="DHO46" s="987"/>
      <c r="DHP46" s="987"/>
      <c r="DHQ46" s="987"/>
      <c r="DHR46" s="987"/>
      <c r="DHS46" s="987"/>
      <c r="DHT46" s="987"/>
      <c r="DHU46" s="987"/>
      <c r="DHV46" s="987"/>
      <c r="DHW46" s="987"/>
      <c r="DHX46" s="987"/>
      <c r="DHY46" s="987"/>
      <c r="DHZ46" s="987"/>
      <c r="DIA46" s="987"/>
      <c r="DIB46" s="987"/>
      <c r="DIC46" s="987"/>
      <c r="DID46" s="987"/>
      <c r="DIE46" s="987"/>
      <c r="DIF46" s="987"/>
      <c r="DIG46" s="987"/>
      <c r="DIH46" s="987"/>
      <c r="DII46" s="987"/>
      <c r="DIJ46" s="987"/>
      <c r="DIK46" s="987"/>
      <c r="DIL46" s="987"/>
      <c r="DIM46" s="987"/>
      <c r="DIN46" s="987"/>
      <c r="DIO46" s="987"/>
      <c r="DIP46" s="987"/>
      <c r="DIQ46" s="987"/>
      <c r="DIR46" s="987"/>
      <c r="DIS46" s="987"/>
      <c r="DIT46" s="987"/>
      <c r="DIU46" s="987"/>
      <c r="DIV46" s="987"/>
      <c r="DIW46" s="987"/>
      <c r="DIX46" s="987"/>
      <c r="DIY46" s="987"/>
      <c r="DIZ46" s="987"/>
      <c r="DJA46" s="987"/>
      <c r="DJB46" s="987"/>
      <c r="DJC46" s="987"/>
      <c r="DJD46" s="987"/>
      <c r="DJE46" s="987"/>
      <c r="DJF46" s="987"/>
      <c r="DJG46" s="987"/>
      <c r="DJH46" s="987"/>
      <c r="DJI46" s="987"/>
      <c r="DJJ46" s="987"/>
      <c r="DJK46" s="987"/>
      <c r="DJL46" s="987"/>
      <c r="DJM46" s="987"/>
      <c r="DJN46" s="987"/>
      <c r="DJO46" s="987"/>
      <c r="DJP46" s="987"/>
      <c r="DJQ46" s="987"/>
      <c r="DJR46" s="987"/>
      <c r="DJS46" s="987"/>
      <c r="DJT46" s="987"/>
      <c r="DJU46" s="987"/>
      <c r="DJV46" s="987"/>
      <c r="DJW46" s="987"/>
      <c r="DJX46" s="987"/>
      <c r="DJY46" s="987"/>
      <c r="DJZ46" s="987"/>
      <c r="DKA46" s="987"/>
      <c r="DKB46" s="987"/>
      <c r="DKC46" s="987"/>
      <c r="DKD46" s="987"/>
      <c r="DKE46" s="987"/>
      <c r="DKF46" s="987"/>
      <c r="DKG46" s="987"/>
      <c r="DKH46" s="987"/>
      <c r="DKI46" s="987"/>
      <c r="DKJ46" s="987"/>
      <c r="DKK46" s="987"/>
      <c r="DKL46" s="987"/>
      <c r="DKM46" s="987"/>
      <c r="DKN46" s="987"/>
      <c r="DKO46" s="987"/>
      <c r="DKP46" s="987"/>
      <c r="DKQ46" s="987"/>
      <c r="DKR46" s="987"/>
      <c r="DKS46" s="987"/>
      <c r="DKT46" s="987"/>
      <c r="DKU46" s="987"/>
      <c r="DKV46" s="987"/>
      <c r="DKW46" s="987"/>
      <c r="DKX46" s="987"/>
      <c r="DKY46" s="987"/>
      <c r="DKZ46" s="987"/>
      <c r="DLA46" s="987"/>
      <c r="DLB46" s="987"/>
      <c r="DLC46" s="987"/>
      <c r="DLD46" s="987"/>
      <c r="DLE46" s="987"/>
      <c r="DLF46" s="987"/>
      <c r="DLG46" s="987"/>
      <c r="DLH46" s="987"/>
      <c r="DLI46" s="987"/>
      <c r="DLJ46" s="987"/>
      <c r="DLK46" s="987"/>
      <c r="DLL46" s="987"/>
      <c r="DLM46" s="987"/>
      <c r="DLN46" s="987"/>
      <c r="DLO46" s="987"/>
      <c r="DLP46" s="987"/>
      <c r="DLQ46" s="987"/>
      <c r="DLR46" s="987"/>
      <c r="DLS46" s="987"/>
      <c r="DLT46" s="987"/>
      <c r="DLU46" s="987"/>
      <c r="DLV46" s="987"/>
      <c r="DLW46" s="987"/>
      <c r="DLX46" s="987"/>
      <c r="DLY46" s="987"/>
      <c r="DLZ46" s="987"/>
      <c r="DMA46" s="987"/>
      <c r="DMB46" s="987"/>
      <c r="DMC46" s="987"/>
      <c r="DMD46" s="987"/>
      <c r="DME46" s="987"/>
      <c r="DMF46" s="987"/>
      <c r="DMG46" s="987"/>
      <c r="DMH46" s="987"/>
      <c r="DMI46" s="987"/>
      <c r="DMJ46" s="987"/>
      <c r="DMK46" s="987"/>
      <c r="DML46" s="987"/>
      <c r="DMM46" s="987"/>
      <c r="DMN46" s="987"/>
      <c r="DMO46" s="987"/>
      <c r="DMP46" s="987"/>
      <c r="DMQ46" s="987"/>
      <c r="DMR46" s="987"/>
      <c r="DMS46" s="987"/>
      <c r="DMT46" s="987"/>
      <c r="DMU46" s="987"/>
      <c r="DMV46" s="987"/>
      <c r="DMW46" s="987"/>
      <c r="DMX46" s="987"/>
      <c r="DMY46" s="987"/>
      <c r="DMZ46" s="987"/>
      <c r="DNA46" s="987"/>
      <c r="DNB46" s="987"/>
      <c r="DNC46" s="987"/>
      <c r="DND46" s="987"/>
      <c r="DNE46" s="987"/>
      <c r="DNF46" s="987"/>
      <c r="DNG46" s="987"/>
      <c r="DNH46" s="987"/>
      <c r="DNI46" s="987"/>
      <c r="DNJ46" s="987"/>
      <c r="DNK46" s="987"/>
      <c r="DNL46" s="987"/>
      <c r="DNM46" s="987"/>
      <c r="DNN46" s="987"/>
      <c r="DNO46" s="987"/>
      <c r="DNP46" s="987"/>
      <c r="DNQ46" s="987"/>
      <c r="DNR46" s="987"/>
      <c r="DNS46" s="987"/>
      <c r="DNT46" s="987"/>
      <c r="DNU46" s="987"/>
      <c r="DNV46" s="987"/>
      <c r="DNW46" s="987"/>
      <c r="DNX46" s="987"/>
      <c r="DNY46" s="987"/>
      <c r="DNZ46" s="987"/>
      <c r="DOA46" s="987"/>
      <c r="DOB46" s="987"/>
      <c r="DOC46" s="987"/>
      <c r="DOD46" s="987"/>
      <c r="DOE46" s="987"/>
      <c r="DOF46" s="987"/>
      <c r="DOG46" s="987"/>
      <c r="DOH46" s="987"/>
      <c r="DOI46" s="987"/>
      <c r="DOJ46" s="987"/>
      <c r="DOK46" s="987"/>
      <c r="DOL46" s="987"/>
      <c r="DOM46" s="987"/>
      <c r="DON46" s="987"/>
      <c r="DOO46" s="987"/>
      <c r="DOP46" s="987"/>
      <c r="DOQ46" s="987"/>
      <c r="DOR46" s="987"/>
      <c r="DOS46" s="987"/>
      <c r="DOT46" s="987"/>
      <c r="DOU46" s="987"/>
      <c r="DOV46" s="987"/>
      <c r="DOW46" s="987"/>
      <c r="DOX46" s="987"/>
      <c r="DOY46" s="987"/>
      <c r="DOZ46" s="987"/>
      <c r="DPA46" s="987"/>
      <c r="DPB46" s="987"/>
      <c r="DPC46" s="987"/>
      <c r="DPD46" s="987"/>
      <c r="DPE46" s="987"/>
      <c r="DPF46" s="987"/>
      <c r="DPG46" s="987"/>
      <c r="DPH46" s="987"/>
      <c r="DPI46" s="987"/>
      <c r="DPJ46" s="987"/>
      <c r="DPK46" s="987"/>
      <c r="DPL46" s="987"/>
      <c r="DPM46" s="987"/>
      <c r="DPN46" s="987"/>
      <c r="DPO46" s="987"/>
      <c r="DPP46" s="987"/>
      <c r="DPQ46" s="987"/>
      <c r="DPR46" s="987"/>
      <c r="DPS46" s="987"/>
      <c r="DPT46" s="987"/>
      <c r="DPU46" s="987"/>
      <c r="DPV46" s="987"/>
      <c r="DPW46" s="987"/>
      <c r="DPX46" s="987"/>
      <c r="DPY46" s="987"/>
      <c r="DPZ46" s="987"/>
      <c r="DQA46" s="987"/>
      <c r="DQB46" s="987"/>
      <c r="DQC46" s="987"/>
      <c r="DQD46" s="987"/>
      <c r="DQE46" s="987"/>
      <c r="DQF46" s="987"/>
      <c r="DQG46" s="987"/>
      <c r="DQH46" s="987"/>
      <c r="DQI46" s="987"/>
      <c r="DQJ46" s="987"/>
      <c r="DQK46" s="987"/>
      <c r="DQL46" s="987"/>
      <c r="DQM46" s="987"/>
      <c r="DQN46" s="987"/>
      <c r="DQO46" s="987"/>
      <c r="DQP46" s="987"/>
      <c r="DQQ46" s="987"/>
      <c r="DQR46" s="987"/>
      <c r="DQS46" s="987"/>
      <c r="DQT46" s="987"/>
      <c r="DQU46" s="987"/>
      <c r="DQV46" s="987"/>
      <c r="DQW46" s="987"/>
      <c r="DQX46" s="987"/>
      <c r="DQY46" s="987"/>
      <c r="DQZ46" s="987"/>
      <c r="DRA46" s="987"/>
      <c r="DRB46" s="987"/>
      <c r="DRC46" s="987"/>
      <c r="DRD46" s="987"/>
      <c r="DRE46" s="987"/>
      <c r="DRF46" s="987"/>
      <c r="DRG46" s="987"/>
      <c r="DRH46" s="987"/>
      <c r="DRI46" s="987"/>
      <c r="DRJ46" s="987"/>
      <c r="DRK46" s="987"/>
      <c r="DRL46" s="987"/>
      <c r="DRM46" s="987"/>
      <c r="DRN46" s="987"/>
      <c r="DRO46" s="987"/>
      <c r="DRP46" s="987"/>
      <c r="DRQ46" s="987"/>
      <c r="DRR46" s="987"/>
      <c r="DRS46" s="987"/>
      <c r="DRT46" s="987"/>
      <c r="DRU46" s="987"/>
      <c r="DRV46" s="987"/>
      <c r="DRW46" s="987"/>
      <c r="DRX46" s="987"/>
      <c r="DRY46" s="987"/>
      <c r="DRZ46" s="987"/>
      <c r="DSA46" s="987"/>
      <c r="DSB46" s="987"/>
      <c r="DSC46" s="987"/>
      <c r="DSD46" s="987"/>
      <c r="DSE46" s="987"/>
      <c r="DSF46" s="987"/>
      <c r="DSG46" s="987"/>
      <c r="DSH46" s="987"/>
      <c r="DSI46" s="987"/>
      <c r="DSJ46" s="987"/>
      <c r="DSK46" s="987"/>
      <c r="DSL46" s="987"/>
      <c r="DSM46" s="987"/>
      <c r="DSN46" s="987"/>
      <c r="DSO46" s="987"/>
      <c r="DSP46" s="987"/>
      <c r="DSQ46" s="987"/>
      <c r="DSR46" s="987"/>
      <c r="DSS46" s="987"/>
      <c r="DST46" s="987"/>
      <c r="DSU46" s="987"/>
      <c r="DSV46" s="987"/>
      <c r="DSW46" s="987"/>
      <c r="DSX46" s="987"/>
      <c r="DSY46" s="987"/>
      <c r="DSZ46" s="987"/>
      <c r="DTA46" s="987"/>
      <c r="DTB46" s="987"/>
      <c r="DTC46" s="987"/>
      <c r="DTD46" s="987"/>
      <c r="DTE46" s="987"/>
      <c r="DTF46" s="987"/>
      <c r="DTG46" s="987"/>
      <c r="DTH46" s="987"/>
      <c r="DTI46" s="987"/>
      <c r="DTJ46" s="987"/>
      <c r="DTK46" s="987"/>
      <c r="DTL46" s="987"/>
      <c r="DTM46" s="987"/>
      <c r="DTN46" s="987"/>
      <c r="DTO46" s="987"/>
      <c r="DTP46" s="987"/>
      <c r="DTQ46" s="987"/>
      <c r="DTR46" s="987"/>
      <c r="DTS46" s="987"/>
      <c r="DTT46" s="987"/>
      <c r="DTU46" s="987"/>
      <c r="DTV46" s="987"/>
      <c r="DTW46" s="987"/>
      <c r="DTX46" s="987"/>
      <c r="DTY46" s="987"/>
      <c r="DTZ46" s="987"/>
      <c r="DUA46" s="987"/>
      <c r="DUB46" s="987"/>
      <c r="DUC46" s="987"/>
      <c r="DUD46" s="987"/>
      <c r="DUE46" s="987"/>
      <c r="DUF46" s="987"/>
      <c r="DUG46" s="987"/>
      <c r="DUH46" s="987"/>
      <c r="DUI46" s="987"/>
      <c r="DUJ46" s="987"/>
      <c r="DUK46" s="987"/>
      <c r="DUL46" s="987"/>
      <c r="DUM46" s="987"/>
      <c r="DUN46" s="987"/>
      <c r="DUO46" s="987"/>
      <c r="DUP46" s="987"/>
      <c r="DUQ46" s="987"/>
      <c r="DUR46" s="987"/>
      <c r="DUS46" s="987"/>
      <c r="DUT46" s="987"/>
      <c r="DUU46" s="987"/>
      <c r="DUV46" s="987"/>
      <c r="DUW46" s="987"/>
      <c r="DUX46" s="987"/>
      <c r="DUY46" s="987"/>
      <c r="DUZ46" s="987"/>
      <c r="DVA46" s="987"/>
      <c r="DVB46" s="987"/>
      <c r="DVC46" s="987"/>
      <c r="DVD46" s="987"/>
      <c r="DVE46" s="987"/>
      <c r="DVF46" s="987"/>
      <c r="DVG46" s="987"/>
      <c r="DVH46" s="987"/>
      <c r="DVI46" s="987"/>
      <c r="DVJ46" s="987"/>
      <c r="DVK46" s="987"/>
      <c r="DVL46" s="987"/>
      <c r="DVM46" s="987"/>
      <c r="DVN46" s="987"/>
      <c r="DVO46" s="987"/>
      <c r="DVP46" s="987"/>
      <c r="DVQ46" s="987"/>
      <c r="DVR46" s="987"/>
      <c r="DVS46" s="987"/>
      <c r="DVT46" s="987"/>
      <c r="DVU46" s="987"/>
      <c r="DVV46" s="987"/>
      <c r="DVW46" s="987"/>
      <c r="DVX46" s="987"/>
      <c r="DVY46" s="987"/>
      <c r="DVZ46" s="987"/>
      <c r="DWA46" s="987"/>
      <c r="DWB46" s="987"/>
      <c r="DWC46" s="987"/>
      <c r="DWD46" s="987"/>
      <c r="DWE46" s="987"/>
      <c r="DWF46" s="987"/>
      <c r="DWG46" s="987"/>
      <c r="DWH46" s="987"/>
      <c r="DWI46" s="987"/>
      <c r="DWJ46" s="987"/>
      <c r="DWK46" s="987"/>
      <c r="DWL46" s="987"/>
      <c r="DWM46" s="987"/>
      <c r="DWN46" s="987"/>
      <c r="DWO46" s="987"/>
      <c r="DWP46" s="987"/>
      <c r="DWQ46" s="987"/>
      <c r="DWR46" s="987"/>
      <c r="DWS46" s="987"/>
      <c r="DWT46" s="987"/>
      <c r="DWU46" s="987"/>
      <c r="DWV46" s="987"/>
      <c r="DWW46" s="987"/>
      <c r="DWX46" s="987"/>
      <c r="DWY46" s="987"/>
      <c r="DWZ46" s="987"/>
      <c r="DXA46" s="987"/>
      <c r="DXB46" s="987"/>
      <c r="DXC46" s="987"/>
      <c r="DXD46" s="987"/>
      <c r="DXE46" s="987"/>
      <c r="DXF46" s="987"/>
      <c r="DXG46" s="987"/>
      <c r="DXH46" s="987"/>
      <c r="DXI46" s="987"/>
      <c r="DXJ46" s="987"/>
      <c r="DXK46" s="987"/>
      <c r="DXL46" s="987"/>
      <c r="DXM46" s="987"/>
      <c r="DXN46" s="987"/>
      <c r="DXO46" s="987"/>
      <c r="DXP46" s="987"/>
      <c r="DXQ46" s="987"/>
      <c r="DXR46" s="987"/>
      <c r="DXS46" s="987"/>
      <c r="DXT46" s="987"/>
      <c r="DXU46" s="987"/>
      <c r="DXV46" s="987"/>
      <c r="DXW46" s="987"/>
      <c r="DXX46" s="987"/>
      <c r="DXY46" s="987"/>
      <c r="DXZ46" s="987"/>
      <c r="DYA46" s="987"/>
      <c r="DYB46" s="987"/>
      <c r="DYC46" s="987"/>
      <c r="DYD46" s="987"/>
      <c r="DYE46" s="987"/>
      <c r="DYF46" s="987"/>
      <c r="DYG46" s="987"/>
      <c r="DYH46" s="987"/>
      <c r="DYI46" s="987"/>
      <c r="DYJ46" s="987"/>
      <c r="DYK46" s="987"/>
      <c r="DYL46" s="987"/>
      <c r="DYM46" s="987"/>
      <c r="DYN46" s="987"/>
      <c r="DYO46" s="987"/>
      <c r="DYP46" s="987"/>
      <c r="DYQ46" s="987"/>
      <c r="DYR46" s="987"/>
      <c r="DYS46" s="987"/>
      <c r="DYT46" s="987"/>
      <c r="DYU46" s="987"/>
      <c r="DYV46" s="987"/>
      <c r="DYW46" s="987"/>
      <c r="DYX46" s="987"/>
      <c r="DYY46" s="987"/>
      <c r="DYZ46" s="987"/>
      <c r="DZA46" s="987"/>
      <c r="DZB46" s="987"/>
      <c r="DZC46" s="987"/>
      <c r="DZD46" s="987"/>
      <c r="DZE46" s="987"/>
      <c r="DZF46" s="987"/>
      <c r="DZG46" s="987"/>
      <c r="DZH46" s="987"/>
      <c r="DZI46" s="987"/>
      <c r="DZJ46" s="987"/>
      <c r="DZK46" s="987"/>
      <c r="DZL46" s="987"/>
      <c r="DZM46" s="987"/>
      <c r="DZN46" s="987"/>
      <c r="DZO46" s="987"/>
      <c r="DZP46" s="987"/>
      <c r="DZQ46" s="987"/>
      <c r="DZR46" s="987"/>
      <c r="DZS46" s="987"/>
      <c r="DZT46" s="987"/>
      <c r="DZU46" s="987"/>
      <c r="DZV46" s="987"/>
      <c r="DZW46" s="987"/>
      <c r="DZX46" s="987"/>
      <c r="DZY46" s="987"/>
      <c r="DZZ46" s="987"/>
      <c r="EAA46" s="987"/>
      <c r="EAB46" s="987"/>
      <c r="EAC46" s="987"/>
      <c r="EAD46" s="987"/>
      <c r="EAE46" s="987"/>
      <c r="EAF46" s="987"/>
      <c r="EAG46" s="987"/>
      <c r="EAH46" s="987"/>
      <c r="EAI46" s="987"/>
      <c r="EAJ46" s="987"/>
      <c r="EAK46" s="987"/>
      <c r="EAL46" s="987"/>
      <c r="EAM46" s="987"/>
      <c r="EAN46" s="987"/>
      <c r="EAO46" s="987"/>
      <c r="EAP46" s="987"/>
      <c r="EAQ46" s="987"/>
      <c r="EAR46" s="987"/>
      <c r="EAS46" s="987"/>
      <c r="EAT46" s="987"/>
      <c r="EAU46" s="987"/>
      <c r="EAV46" s="987"/>
      <c r="EAW46" s="987"/>
      <c r="EAX46" s="987"/>
      <c r="EAY46" s="987"/>
      <c r="EAZ46" s="987"/>
      <c r="EBA46" s="987"/>
      <c r="EBB46" s="987"/>
      <c r="EBC46" s="987"/>
      <c r="EBD46" s="987"/>
      <c r="EBE46" s="987"/>
      <c r="EBF46" s="987"/>
      <c r="EBG46" s="987"/>
      <c r="EBH46" s="987"/>
      <c r="EBI46" s="987"/>
      <c r="EBJ46" s="987"/>
      <c r="EBK46" s="987"/>
      <c r="EBL46" s="987"/>
      <c r="EBM46" s="987"/>
      <c r="EBN46" s="987"/>
      <c r="EBO46" s="987"/>
      <c r="EBP46" s="987"/>
      <c r="EBQ46" s="987"/>
      <c r="EBR46" s="987"/>
      <c r="EBS46" s="987"/>
      <c r="EBT46" s="987"/>
      <c r="EBU46" s="987"/>
      <c r="EBV46" s="987"/>
      <c r="EBW46" s="987"/>
      <c r="EBX46" s="987"/>
      <c r="EBY46" s="987"/>
      <c r="EBZ46" s="987"/>
      <c r="ECA46" s="987"/>
      <c r="ECB46" s="987"/>
      <c r="ECC46" s="987"/>
      <c r="ECD46" s="987"/>
      <c r="ECE46" s="987"/>
      <c r="ECF46" s="987"/>
      <c r="ECG46" s="987"/>
      <c r="ECH46" s="987"/>
      <c r="ECI46" s="987"/>
      <c r="ECJ46" s="987"/>
      <c r="ECK46" s="987"/>
      <c r="ECL46" s="987"/>
      <c r="ECM46" s="987"/>
      <c r="ECN46" s="987"/>
      <c r="ECO46" s="987"/>
      <c r="ECP46" s="987"/>
      <c r="ECQ46" s="987"/>
      <c r="ECR46" s="987"/>
      <c r="ECS46" s="987"/>
      <c r="ECT46" s="987"/>
      <c r="ECU46" s="987"/>
      <c r="ECV46" s="987"/>
      <c r="ECW46" s="987"/>
      <c r="ECX46" s="987"/>
      <c r="ECY46" s="987"/>
      <c r="ECZ46" s="987"/>
      <c r="EDA46" s="987"/>
      <c r="EDB46" s="987"/>
      <c r="EDC46" s="987"/>
      <c r="EDD46" s="987"/>
      <c r="EDE46" s="987"/>
      <c r="EDF46" s="987"/>
      <c r="EDG46" s="987"/>
      <c r="EDH46" s="987"/>
      <c r="EDI46" s="987"/>
      <c r="EDJ46" s="987"/>
      <c r="EDK46" s="987"/>
      <c r="EDL46" s="987"/>
      <c r="EDM46" s="987"/>
      <c r="EDN46" s="987"/>
      <c r="EDO46" s="987"/>
      <c r="EDP46" s="987"/>
      <c r="EDQ46" s="987"/>
      <c r="EDR46" s="987"/>
      <c r="EDS46" s="987"/>
      <c r="EDT46" s="987"/>
      <c r="EDU46" s="987"/>
      <c r="EDV46" s="987"/>
      <c r="EDW46" s="987"/>
      <c r="EDX46" s="987"/>
      <c r="EDY46" s="987"/>
      <c r="EDZ46" s="987"/>
      <c r="EEA46" s="987"/>
      <c r="EEB46" s="987"/>
      <c r="EEC46" s="987"/>
      <c r="EED46" s="987"/>
      <c r="EEE46" s="987"/>
      <c r="EEF46" s="987"/>
      <c r="EEG46" s="987"/>
      <c r="EEH46" s="987"/>
      <c r="EEI46" s="987"/>
      <c r="EEJ46" s="987"/>
      <c r="EEK46" s="987"/>
      <c r="EEL46" s="987"/>
      <c r="EEM46" s="987"/>
      <c r="EEN46" s="987"/>
      <c r="EEO46" s="987"/>
      <c r="EEP46" s="987"/>
      <c r="EEQ46" s="987"/>
      <c r="EER46" s="987"/>
      <c r="EES46" s="987"/>
      <c r="EET46" s="987"/>
      <c r="EEU46" s="987"/>
      <c r="EEV46" s="987"/>
      <c r="EEW46" s="987"/>
      <c r="EEX46" s="987"/>
      <c r="EEY46" s="987"/>
      <c r="EEZ46" s="987"/>
      <c r="EFA46" s="987"/>
      <c r="EFB46" s="987"/>
      <c r="EFC46" s="987"/>
      <c r="EFD46" s="987"/>
      <c r="EFE46" s="987"/>
      <c r="EFF46" s="987"/>
      <c r="EFG46" s="987"/>
      <c r="EFH46" s="987"/>
      <c r="EFI46" s="987"/>
      <c r="EFJ46" s="987"/>
      <c r="EFK46" s="987"/>
      <c r="EFL46" s="987"/>
      <c r="EFM46" s="987"/>
      <c r="EFN46" s="987"/>
      <c r="EFO46" s="987"/>
      <c r="EFP46" s="987"/>
      <c r="EFQ46" s="987"/>
      <c r="EFR46" s="987"/>
      <c r="EFS46" s="987"/>
      <c r="EFT46" s="987"/>
      <c r="EFU46" s="987"/>
      <c r="EFV46" s="987"/>
      <c r="EFW46" s="987"/>
      <c r="EFX46" s="987"/>
      <c r="EFY46" s="987"/>
      <c r="EFZ46" s="987"/>
      <c r="EGA46" s="987"/>
      <c r="EGB46" s="987"/>
      <c r="EGC46" s="987"/>
      <c r="EGD46" s="987"/>
      <c r="EGE46" s="987"/>
      <c r="EGF46" s="987"/>
      <c r="EGG46" s="987"/>
      <c r="EGH46" s="987"/>
      <c r="EGI46" s="987"/>
      <c r="EGJ46" s="987"/>
      <c r="EGK46" s="987"/>
      <c r="EGL46" s="987"/>
      <c r="EGM46" s="987"/>
      <c r="EGN46" s="987"/>
      <c r="EGO46" s="987"/>
      <c r="EGP46" s="987"/>
      <c r="EGQ46" s="987"/>
      <c r="EGR46" s="987"/>
      <c r="EGS46" s="987"/>
      <c r="EGT46" s="987"/>
      <c r="EGU46" s="987"/>
      <c r="EGV46" s="987"/>
      <c r="EGW46" s="987"/>
      <c r="EGX46" s="987"/>
      <c r="EGY46" s="987"/>
      <c r="EGZ46" s="987"/>
      <c r="EHA46" s="987"/>
      <c r="EHB46" s="987"/>
      <c r="EHC46" s="987"/>
      <c r="EHD46" s="987"/>
      <c r="EHE46" s="987"/>
      <c r="EHF46" s="987"/>
      <c r="EHG46" s="987"/>
      <c r="EHH46" s="987"/>
      <c r="EHI46" s="987"/>
      <c r="EHJ46" s="987"/>
      <c r="EHK46" s="987"/>
      <c r="EHL46" s="987"/>
      <c r="EHM46" s="987"/>
      <c r="EHN46" s="987"/>
      <c r="EHO46" s="987"/>
      <c r="EHP46" s="987"/>
      <c r="EHQ46" s="987"/>
      <c r="EHR46" s="987"/>
      <c r="EHS46" s="987"/>
      <c r="EHT46" s="987"/>
      <c r="EHU46" s="987"/>
      <c r="EHV46" s="987"/>
      <c r="EHW46" s="987"/>
      <c r="EHX46" s="987"/>
      <c r="EHY46" s="987"/>
      <c r="EHZ46" s="987"/>
      <c r="EIA46" s="987"/>
      <c r="EIB46" s="987"/>
      <c r="EIC46" s="987"/>
      <c r="EID46" s="987"/>
      <c r="EIE46" s="987"/>
      <c r="EIF46" s="987"/>
      <c r="EIG46" s="987"/>
      <c r="EIH46" s="987"/>
      <c r="EII46" s="987"/>
      <c r="EIJ46" s="987"/>
      <c r="EIK46" s="987"/>
      <c r="EIL46" s="987"/>
      <c r="EIM46" s="987"/>
      <c r="EIN46" s="987"/>
      <c r="EIO46" s="987"/>
      <c r="EIP46" s="987"/>
      <c r="EIQ46" s="987"/>
      <c r="EIR46" s="987"/>
      <c r="EIS46" s="987"/>
      <c r="EIT46" s="987"/>
      <c r="EIU46" s="987"/>
      <c r="EIV46" s="987"/>
      <c r="EIW46" s="987"/>
      <c r="EIX46" s="987"/>
      <c r="EIY46" s="987"/>
      <c r="EIZ46" s="987"/>
      <c r="EJA46" s="987"/>
      <c r="EJB46" s="987"/>
      <c r="EJC46" s="987"/>
      <c r="EJD46" s="987"/>
      <c r="EJE46" s="987"/>
      <c r="EJF46" s="987"/>
      <c r="EJG46" s="987"/>
      <c r="EJH46" s="987"/>
      <c r="EJI46" s="987"/>
      <c r="EJJ46" s="987"/>
      <c r="EJK46" s="987"/>
      <c r="EJL46" s="987"/>
      <c r="EJM46" s="987"/>
      <c r="EJN46" s="987"/>
      <c r="EJO46" s="987"/>
      <c r="EJP46" s="987"/>
      <c r="EJQ46" s="987"/>
      <c r="EJR46" s="987"/>
      <c r="EJS46" s="987"/>
      <c r="EJT46" s="987"/>
      <c r="EJU46" s="987"/>
      <c r="EJV46" s="987"/>
      <c r="EJW46" s="987"/>
      <c r="EJX46" s="987"/>
      <c r="EJY46" s="987"/>
      <c r="EJZ46" s="987"/>
      <c r="EKA46" s="987"/>
      <c r="EKB46" s="987"/>
      <c r="EKC46" s="987"/>
      <c r="EKD46" s="987"/>
      <c r="EKE46" s="987"/>
      <c r="EKF46" s="987"/>
      <c r="EKG46" s="987"/>
      <c r="EKH46" s="987"/>
      <c r="EKI46" s="987"/>
      <c r="EKJ46" s="987"/>
      <c r="EKK46" s="987"/>
      <c r="EKL46" s="987"/>
      <c r="EKM46" s="987"/>
      <c r="EKN46" s="987"/>
      <c r="EKO46" s="987"/>
      <c r="EKP46" s="987"/>
      <c r="EKQ46" s="987"/>
      <c r="EKR46" s="987"/>
      <c r="EKS46" s="987"/>
      <c r="EKT46" s="987"/>
      <c r="EKU46" s="987"/>
      <c r="EKV46" s="987"/>
      <c r="EKW46" s="987"/>
      <c r="EKX46" s="987"/>
      <c r="EKY46" s="987"/>
      <c r="EKZ46" s="987"/>
      <c r="ELA46" s="987"/>
      <c r="ELB46" s="987"/>
      <c r="ELC46" s="987"/>
      <c r="ELD46" s="987"/>
      <c r="ELE46" s="987"/>
      <c r="ELF46" s="987"/>
      <c r="ELG46" s="987"/>
      <c r="ELH46" s="987"/>
      <c r="ELI46" s="987"/>
      <c r="ELJ46" s="987"/>
      <c r="ELK46" s="987"/>
      <c r="ELL46" s="987"/>
      <c r="ELM46" s="987"/>
      <c r="ELN46" s="987"/>
      <c r="ELO46" s="987"/>
      <c r="ELP46" s="987"/>
      <c r="ELQ46" s="987"/>
      <c r="ELR46" s="987"/>
      <c r="ELS46" s="987"/>
      <c r="ELT46" s="987"/>
      <c r="ELU46" s="987"/>
      <c r="ELV46" s="987"/>
      <c r="ELW46" s="987"/>
      <c r="ELX46" s="987"/>
      <c r="ELY46" s="987"/>
      <c r="ELZ46" s="987"/>
      <c r="EMA46" s="987"/>
      <c r="EMB46" s="987"/>
      <c r="EMC46" s="987"/>
      <c r="EMD46" s="987"/>
      <c r="EME46" s="987"/>
      <c r="EMF46" s="987"/>
      <c r="EMG46" s="987"/>
      <c r="EMH46" s="987"/>
      <c r="EMI46" s="987"/>
      <c r="EMJ46" s="987"/>
      <c r="EMK46" s="987"/>
      <c r="EML46" s="987"/>
      <c r="EMM46" s="987"/>
      <c r="EMN46" s="987"/>
      <c r="EMO46" s="987"/>
      <c r="EMP46" s="987"/>
      <c r="EMQ46" s="987"/>
      <c r="EMR46" s="987"/>
      <c r="EMS46" s="987"/>
      <c r="EMT46" s="987"/>
      <c r="EMU46" s="987"/>
      <c r="EMV46" s="987"/>
      <c r="EMW46" s="987"/>
      <c r="EMX46" s="987"/>
      <c r="EMY46" s="987"/>
      <c r="EMZ46" s="987"/>
      <c r="ENA46" s="987"/>
      <c r="ENB46" s="987"/>
      <c r="ENC46" s="987"/>
      <c r="END46" s="987"/>
      <c r="ENE46" s="987"/>
      <c r="ENF46" s="987"/>
      <c r="ENG46" s="987"/>
      <c r="ENH46" s="987"/>
      <c r="ENI46" s="987"/>
      <c r="ENJ46" s="987"/>
      <c r="ENK46" s="987"/>
      <c r="ENL46" s="987"/>
      <c r="ENM46" s="987"/>
      <c r="ENN46" s="987"/>
      <c r="ENO46" s="987"/>
      <c r="ENP46" s="987"/>
      <c r="ENQ46" s="987"/>
      <c r="ENR46" s="987"/>
      <c r="ENS46" s="987"/>
      <c r="ENT46" s="987"/>
      <c r="ENU46" s="987"/>
      <c r="ENV46" s="987"/>
      <c r="ENW46" s="987"/>
      <c r="ENX46" s="987"/>
      <c r="ENY46" s="987"/>
      <c r="ENZ46" s="987"/>
      <c r="EOA46" s="987"/>
      <c r="EOB46" s="987"/>
      <c r="EOC46" s="987"/>
      <c r="EOD46" s="987"/>
      <c r="EOE46" s="987"/>
      <c r="EOF46" s="987"/>
      <c r="EOG46" s="987"/>
      <c r="EOH46" s="987"/>
      <c r="EOI46" s="987"/>
      <c r="EOJ46" s="987"/>
      <c r="EOK46" s="987"/>
      <c r="EOL46" s="987"/>
      <c r="EOM46" s="987"/>
      <c r="EON46" s="987"/>
      <c r="EOO46" s="987"/>
      <c r="EOP46" s="987"/>
      <c r="EOQ46" s="987"/>
      <c r="EOR46" s="987"/>
      <c r="EOS46" s="987"/>
      <c r="EOT46" s="987"/>
      <c r="EOU46" s="987"/>
      <c r="EOV46" s="987"/>
      <c r="EOW46" s="987"/>
      <c r="EOX46" s="987"/>
      <c r="EOY46" s="987"/>
      <c r="EOZ46" s="987"/>
      <c r="EPA46" s="987"/>
      <c r="EPB46" s="987"/>
      <c r="EPC46" s="987"/>
      <c r="EPD46" s="987"/>
      <c r="EPE46" s="987"/>
      <c r="EPF46" s="987"/>
      <c r="EPG46" s="987"/>
      <c r="EPH46" s="987"/>
      <c r="EPI46" s="987"/>
      <c r="EPJ46" s="987"/>
      <c r="EPK46" s="987"/>
      <c r="EPL46" s="987"/>
      <c r="EPM46" s="987"/>
      <c r="EPN46" s="987"/>
      <c r="EPO46" s="987"/>
      <c r="EPP46" s="987"/>
      <c r="EPQ46" s="987"/>
      <c r="EPR46" s="987"/>
      <c r="EPS46" s="987"/>
      <c r="EPT46" s="987"/>
      <c r="EPU46" s="987"/>
      <c r="EPV46" s="987"/>
      <c r="EPW46" s="987"/>
      <c r="EPX46" s="987"/>
      <c r="EPY46" s="987"/>
      <c r="EPZ46" s="987"/>
      <c r="EQA46" s="987"/>
      <c r="EQB46" s="987"/>
      <c r="EQC46" s="987"/>
      <c r="EQD46" s="987"/>
      <c r="EQE46" s="987"/>
      <c r="EQF46" s="987"/>
      <c r="EQG46" s="987"/>
      <c r="EQH46" s="987"/>
      <c r="EQI46" s="987"/>
      <c r="EQJ46" s="987"/>
      <c r="EQK46" s="987"/>
      <c r="EQL46" s="987"/>
      <c r="EQM46" s="987"/>
      <c r="EQN46" s="987"/>
      <c r="EQO46" s="987"/>
      <c r="EQP46" s="987"/>
      <c r="EQQ46" s="987"/>
      <c r="EQR46" s="987"/>
      <c r="EQS46" s="987"/>
      <c r="EQT46" s="987"/>
      <c r="EQU46" s="987"/>
      <c r="EQV46" s="987"/>
      <c r="EQW46" s="987"/>
      <c r="EQX46" s="987"/>
      <c r="EQY46" s="987"/>
      <c r="EQZ46" s="987"/>
      <c r="ERA46" s="987"/>
      <c r="ERB46" s="987"/>
      <c r="ERC46" s="987"/>
      <c r="ERD46" s="987"/>
      <c r="ERE46" s="987"/>
      <c r="ERF46" s="987"/>
      <c r="ERG46" s="987"/>
      <c r="ERH46" s="987"/>
      <c r="ERI46" s="987"/>
      <c r="ERJ46" s="987"/>
      <c r="ERK46" s="987"/>
      <c r="ERL46" s="987"/>
      <c r="ERM46" s="987"/>
      <c r="ERN46" s="987"/>
      <c r="ERO46" s="987"/>
      <c r="ERP46" s="987"/>
      <c r="ERQ46" s="987"/>
      <c r="ERR46" s="987"/>
      <c r="ERS46" s="987"/>
      <c r="ERT46" s="987"/>
      <c r="ERU46" s="987"/>
      <c r="ERV46" s="987"/>
      <c r="ERW46" s="987"/>
      <c r="ERX46" s="987"/>
      <c r="ERY46" s="987"/>
      <c r="ERZ46" s="987"/>
      <c r="ESA46" s="987"/>
      <c r="ESB46" s="987"/>
      <c r="ESC46" s="987"/>
      <c r="ESD46" s="987"/>
      <c r="ESE46" s="987"/>
      <c r="ESF46" s="987"/>
      <c r="ESG46" s="987"/>
      <c r="ESH46" s="987"/>
      <c r="ESI46" s="987"/>
      <c r="ESJ46" s="987"/>
      <c r="ESK46" s="987"/>
      <c r="ESL46" s="987"/>
      <c r="ESM46" s="987"/>
      <c r="ESN46" s="987"/>
      <c r="ESO46" s="987"/>
      <c r="ESP46" s="987"/>
      <c r="ESQ46" s="987"/>
      <c r="ESR46" s="987"/>
      <c r="ESS46" s="987"/>
      <c r="EST46" s="987"/>
      <c r="ESU46" s="987"/>
      <c r="ESV46" s="987"/>
      <c r="ESW46" s="987"/>
      <c r="ESX46" s="987"/>
      <c r="ESY46" s="987"/>
      <c r="ESZ46" s="987"/>
      <c r="ETA46" s="987"/>
      <c r="ETB46" s="987"/>
      <c r="ETC46" s="987"/>
      <c r="ETD46" s="987"/>
      <c r="ETE46" s="987"/>
      <c r="ETF46" s="987"/>
      <c r="ETG46" s="987"/>
      <c r="ETH46" s="987"/>
      <c r="ETI46" s="987"/>
      <c r="ETJ46" s="987"/>
      <c r="ETK46" s="987"/>
      <c r="ETL46" s="987"/>
      <c r="ETM46" s="987"/>
      <c r="ETN46" s="987"/>
      <c r="ETO46" s="987"/>
      <c r="ETP46" s="987"/>
      <c r="ETQ46" s="987"/>
      <c r="ETR46" s="987"/>
      <c r="ETS46" s="987"/>
      <c r="ETT46" s="987"/>
      <c r="ETU46" s="987"/>
      <c r="ETV46" s="987"/>
      <c r="ETW46" s="987"/>
      <c r="ETX46" s="987"/>
      <c r="ETY46" s="987"/>
      <c r="ETZ46" s="987"/>
      <c r="EUA46" s="987"/>
      <c r="EUB46" s="987"/>
      <c r="EUC46" s="987"/>
      <c r="EUD46" s="987"/>
      <c r="EUE46" s="987"/>
      <c r="EUF46" s="987"/>
      <c r="EUG46" s="987"/>
      <c r="EUH46" s="987"/>
      <c r="EUI46" s="987"/>
      <c r="EUJ46" s="987"/>
      <c r="EUK46" s="987"/>
      <c r="EUL46" s="987"/>
      <c r="EUM46" s="987"/>
      <c r="EUN46" s="987"/>
      <c r="EUO46" s="987"/>
      <c r="EUP46" s="987"/>
      <c r="EUQ46" s="987"/>
      <c r="EUR46" s="987"/>
      <c r="EUS46" s="987"/>
      <c r="EUT46" s="987"/>
      <c r="EUU46" s="987"/>
      <c r="EUV46" s="987"/>
      <c r="EUW46" s="987"/>
      <c r="EUX46" s="987"/>
      <c r="EUY46" s="987"/>
      <c r="EUZ46" s="987"/>
      <c r="EVA46" s="987"/>
      <c r="EVB46" s="987"/>
      <c r="EVC46" s="987"/>
      <c r="EVD46" s="987"/>
      <c r="EVE46" s="987"/>
      <c r="EVF46" s="987"/>
      <c r="EVG46" s="987"/>
      <c r="EVH46" s="987"/>
      <c r="EVI46" s="987"/>
      <c r="EVJ46" s="987"/>
      <c r="EVK46" s="987"/>
      <c r="EVL46" s="987"/>
      <c r="EVM46" s="987"/>
      <c r="EVN46" s="987"/>
      <c r="EVO46" s="987"/>
      <c r="EVP46" s="987"/>
      <c r="EVQ46" s="987"/>
      <c r="EVR46" s="987"/>
      <c r="EVS46" s="987"/>
      <c r="EVT46" s="987"/>
      <c r="EVU46" s="987"/>
      <c r="EVV46" s="987"/>
      <c r="EVW46" s="987"/>
      <c r="EVX46" s="987"/>
      <c r="EVY46" s="987"/>
      <c r="EVZ46" s="987"/>
      <c r="EWA46" s="987"/>
      <c r="EWB46" s="987"/>
      <c r="EWC46" s="987"/>
      <c r="EWD46" s="987"/>
      <c r="EWE46" s="987"/>
      <c r="EWF46" s="987"/>
      <c r="EWG46" s="987"/>
      <c r="EWH46" s="987"/>
      <c r="EWI46" s="987"/>
      <c r="EWJ46" s="987"/>
      <c r="EWK46" s="987"/>
      <c r="EWL46" s="987"/>
      <c r="EWM46" s="987"/>
      <c r="EWN46" s="987"/>
      <c r="EWO46" s="987"/>
      <c r="EWP46" s="987"/>
      <c r="EWQ46" s="987"/>
      <c r="EWR46" s="987"/>
      <c r="EWS46" s="987"/>
      <c r="EWT46" s="987"/>
      <c r="EWU46" s="987"/>
      <c r="EWV46" s="987"/>
      <c r="EWW46" s="987"/>
      <c r="EWX46" s="987"/>
      <c r="EWY46" s="987"/>
      <c r="EWZ46" s="987"/>
      <c r="EXA46" s="987"/>
      <c r="EXB46" s="987"/>
      <c r="EXC46" s="987"/>
      <c r="EXD46" s="987"/>
      <c r="EXE46" s="987"/>
      <c r="EXF46" s="987"/>
      <c r="EXG46" s="987"/>
      <c r="EXH46" s="987"/>
      <c r="EXI46" s="987"/>
      <c r="EXJ46" s="987"/>
      <c r="EXK46" s="987"/>
      <c r="EXL46" s="987"/>
      <c r="EXM46" s="987"/>
      <c r="EXN46" s="987"/>
      <c r="EXO46" s="987"/>
      <c r="EXP46" s="987"/>
      <c r="EXQ46" s="987"/>
      <c r="EXR46" s="987"/>
      <c r="EXS46" s="987"/>
      <c r="EXT46" s="987"/>
      <c r="EXU46" s="987"/>
      <c r="EXV46" s="987"/>
      <c r="EXW46" s="987"/>
      <c r="EXX46" s="987"/>
      <c r="EXY46" s="987"/>
      <c r="EXZ46" s="987"/>
      <c r="EYA46" s="987"/>
      <c r="EYB46" s="987"/>
      <c r="EYC46" s="987"/>
      <c r="EYD46" s="987"/>
      <c r="EYE46" s="987"/>
      <c r="EYF46" s="987"/>
      <c r="EYG46" s="987"/>
      <c r="EYH46" s="987"/>
      <c r="EYI46" s="987"/>
      <c r="EYJ46" s="987"/>
      <c r="EYK46" s="987"/>
      <c r="EYL46" s="987"/>
      <c r="EYM46" s="987"/>
      <c r="EYN46" s="987"/>
      <c r="EYO46" s="987"/>
      <c r="EYP46" s="987"/>
      <c r="EYQ46" s="987"/>
      <c r="EYR46" s="987"/>
      <c r="EYS46" s="987"/>
      <c r="EYT46" s="987"/>
      <c r="EYU46" s="987"/>
      <c r="EYV46" s="987"/>
      <c r="EYW46" s="987"/>
      <c r="EYX46" s="987"/>
      <c r="EYY46" s="987"/>
      <c r="EYZ46" s="987"/>
      <c r="EZA46" s="987"/>
      <c r="EZB46" s="987"/>
      <c r="EZC46" s="987"/>
      <c r="EZD46" s="987"/>
      <c r="EZE46" s="987"/>
      <c r="EZF46" s="987"/>
      <c r="EZG46" s="987"/>
      <c r="EZH46" s="987"/>
      <c r="EZI46" s="987"/>
      <c r="EZJ46" s="987"/>
      <c r="EZK46" s="987"/>
      <c r="EZL46" s="987"/>
      <c r="EZM46" s="987"/>
      <c r="EZN46" s="987"/>
      <c r="EZO46" s="987"/>
      <c r="EZP46" s="987"/>
      <c r="EZQ46" s="987"/>
      <c r="EZR46" s="987"/>
      <c r="EZS46" s="987"/>
      <c r="EZT46" s="987"/>
      <c r="EZU46" s="987"/>
      <c r="EZV46" s="987"/>
      <c r="EZW46" s="987"/>
      <c r="EZX46" s="987"/>
      <c r="EZY46" s="987"/>
      <c r="EZZ46" s="987"/>
      <c r="FAA46" s="987"/>
      <c r="FAB46" s="987"/>
      <c r="FAC46" s="987"/>
      <c r="FAD46" s="987"/>
      <c r="FAE46" s="987"/>
      <c r="FAF46" s="987"/>
      <c r="FAG46" s="987"/>
      <c r="FAH46" s="987"/>
      <c r="FAI46" s="987"/>
      <c r="FAJ46" s="987"/>
      <c r="FAK46" s="987"/>
      <c r="FAL46" s="987"/>
      <c r="FAM46" s="987"/>
      <c r="FAN46" s="987"/>
      <c r="FAO46" s="987"/>
      <c r="FAP46" s="987"/>
      <c r="FAQ46" s="987"/>
      <c r="FAR46" s="987"/>
      <c r="FAS46" s="987"/>
      <c r="FAT46" s="987"/>
      <c r="FAU46" s="987"/>
      <c r="FAV46" s="987"/>
      <c r="FAW46" s="987"/>
      <c r="FAX46" s="987"/>
      <c r="FAY46" s="987"/>
      <c r="FAZ46" s="987"/>
      <c r="FBA46" s="987"/>
      <c r="FBB46" s="987"/>
      <c r="FBC46" s="987"/>
      <c r="FBD46" s="987"/>
      <c r="FBE46" s="987"/>
      <c r="FBF46" s="987"/>
      <c r="FBG46" s="987"/>
      <c r="FBH46" s="987"/>
      <c r="FBI46" s="987"/>
      <c r="FBJ46" s="987"/>
      <c r="FBK46" s="987"/>
      <c r="FBL46" s="987"/>
      <c r="FBM46" s="987"/>
      <c r="FBN46" s="987"/>
      <c r="FBO46" s="987"/>
      <c r="FBP46" s="987"/>
      <c r="FBQ46" s="987"/>
      <c r="FBR46" s="987"/>
      <c r="FBS46" s="987"/>
      <c r="FBT46" s="987"/>
      <c r="FBU46" s="987"/>
      <c r="FBV46" s="987"/>
      <c r="FBW46" s="987"/>
      <c r="FBX46" s="987"/>
      <c r="FBY46" s="987"/>
      <c r="FBZ46" s="987"/>
      <c r="FCA46" s="987"/>
      <c r="FCB46" s="987"/>
      <c r="FCC46" s="987"/>
      <c r="FCD46" s="987"/>
      <c r="FCE46" s="987"/>
      <c r="FCF46" s="987"/>
      <c r="FCG46" s="987"/>
      <c r="FCH46" s="987"/>
      <c r="FCI46" s="987"/>
      <c r="FCJ46" s="987"/>
      <c r="FCK46" s="987"/>
      <c r="FCL46" s="987"/>
      <c r="FCM46" s="987"/>
      <c r="FCN46" s="987"/>
      <c r="FCO46" s="987"/>
      <c r="FCP46" s="987"/>
      <c r="FCQ46" s="987"/>
      <c r="FCR46" s="987"/>
      <c r="FCS46" s="987"/>
      <c r="FCT46" s="987"/>
      <c r="FCU46" s="987"/>
      <c r="FCV46" s="987"/>
      <c r="FCW46" s="987"/>
      <c r="FCX46" s="987"/>
      <c r="FCY46" s="987"/>
      <c r="FCZ46" s="987"/>
      <c r="FDA46" s="987"/>
      <c r="FDB46" s="987"/>
      <c r="FDC46" s="987"/>
      <c r="FDD46" s="987"/>
      <c r="FDE46" s="987"/>
      <c r="FDF46" s="987"/>
      <c r="FDG46" s="987"/>
      <c r="FDH46" s="987"/>
      <c r="FDI46" s="987"/>
      <c r="FDJ46" s="987"/>
      <c r="FDK46" s="987"/>
      <c r="FDL46" s="987"/>
      <c r="FDM46" s="987"/>
      <c r="FDN46" s="987"/>
      <c r="FDO46" s="987"/>
      <c r="FDP46" s="987"/>
      <c r="FDQ46" s="987"/>
      <c r="FDR46" s="987"/>
      <c r="FDS46" s="987"/>
      <c r="FDT46" s="987"/>
      <c r="FDU46" s="987"/>
      <c r="FDV46" s="987"/>
      <c r="FDW46" s="987"/>
      <c r="FDX46" s="987"/>
      <c r="FDY46" s="987"/>
      <c r="FDZ46" s="987"/>
      <c r="FEA46" s="987"/>
      <c r="FEB46" s="987"/>
      <c r="FEC46" s="987"/>
      <c r="FED46" s="987"/>
      <c r="FEE46" s="987"/>
      <c r="FEF46" s="987"/>
      <c r="FEG46" s="987"/>
      <c r="FEH46" s="987"/>
      <c r="FEI46" s="987"/>
      <c r="FEJ46" s="987"/>
      <c r="FEK46" s="987"/>
      <c r="FEL46" s="987"/>
      <c r="FEM46" s="987"/>
      <c r="FEN46" s="987"/>
      <c r="FEO46" s="987"/>
      <c r="FEP46" s="987"/>
      <c r="FEQ46" s="987"/>
      <c r="FER46" s="987"/>
      <c r="FES46" s="987"/>
      <c r="FET46" s="987"/>
      <c r="FEU46" s="987"/>
      <c r="FEV46" s="987"/>
      <c r="FEW46" s="987"/>
      <c r="FEX46" s="987"/>
      <c r="FEY46" s="987"/>
      <c r="FEZ46" s="987"/>
      <c r="FFA46" s="987"/>
      <c r="FFB46" s="987"/>
      <c r="FFC46" s="987"/>
      <c r="FFD46" s="987"/>
      <c r="FFE46" s="987"/>
      <c r="FFF46" s="987"/>
      <c r="FFG46" s="987"/>
      <c r="FFH46" s="987"/>
      <c r="FFI46" s="987"/>
      <c r="FFJ46" s="987"/>
      <c r="FFK46" s="987"/>
      <c r="FFL46" s="987"/>
      <c r="FFM46" s="987"/>
      <c r="FFN46" s="987"/>
      <c r="FFO46" s="987"/>
      <c r="FFP46" s="987"/>
      <c r="FFQ46" s="987"/>
      <c r="FFR46" s="987"/>
      <c r="FFS46" s="987"/>
      <c r="FFT46" s="987"/>
      <c r="FFU46" s="987"/>
      <c r="FFV46" s="987"/>
      <c r="FFW46" s="987"/>
      <c r="FFX46" s="987"/>
      <c r="FFY46" s="987"/>
      <c r="FFZ46" s="987"/>
      <c r="FGA46" s="987"/>
      <c r="FGB46" s="987"/>
      <c r="FGC46" s="987"/>
      <c r="FGD46" s="987"/>
      <c r="FGE46" s="987"/>
      <c r="FGF46" s="987"/>
      <c r="FGG46" s="987"/>
      <c r="FGH46" s="987"/>
      <c r="FGI46" s="987"/>
      <c r="FGJ46" s="987"/>
      <c r="FGK46" s="987"/>
      <c r="FGL46" s="987"/>
      <c r="FGM46" s="987"/>
      <c r="FGN46" s="987"/>
      <c r="FGO46" s="987"/>
      <c r="FGP46" s="987"/>
      <c r="FGQ46" s="987"/>
      <c r="FGR46" s="987"/>
      <c r="FGS46" s="987"/>
      <c r="FGT46" s="987"/>
      <c r="FGU46" s="987"/>
      <c r="FGV46" s="987"/>
      <c r="FGW46" s="987"/>
      <c r="FGX46" s="987"/>
      <c r="FGY46" s="987"/>
      <c r="FGZ46" s="987"/>
      <c r="FHA46" s="987"/>
      <c r="FHB46" s="987"/>
      <c r="FHC46" s="987"/>
      <c r="FHD46" s="987"/>
      <c r="FHE46" s="987"/>
      <c r="FHF46" s="987"/>
      <c r="FHG46" s="987"/>
      <c r="FHH46" s="987"/>
      <c r="FHI46" s="987"/>
      <c r="FHJ46" s="987"/>
      <c r="FHK46" s="987"/>
      <c r="FHL46" s="987"/>
      <c r="FHM46" s="987"/>
      <c r="FHN46" s="987"/>
      <c r="FHO46" s="987"/>
      <c r="FHP46" s="987"/>
      <c r="FHQ46" s="987"/>
      <c r="FHR46" s="987"/>
      <c r="FHS46" s="987"/>
      <c r="FHT46" s="987"/>
      <c r="FHU46" s="987"/>
      <c r="FHV46" s="987"/>
      <c r="FHW46" s="987"/>
      <c r="FHX46" s="987"/>
      <c r="FHY46" s="987"/>
      <c r="FHZ46" s="987"/>
      <c r="FIA46" s="987"/>
      <c r="FIB46" s="987"/>
      <c r="FIC46" s="987"/>
      <c r="FID46" s="987"/>
      <c r="FIE46" s="987"/>
      <c r="FIF46" s="987"/>
      <c r="FIG46" s="987"/>
      <c r="FIH46" s="987"/>
      <c r="FII46" s="987"/>
      <c r="FIJ46" s="987"/>
      <c r="FIK46" s="987"/>
      <c r="FIL46" s="987"/>
      <c r="FIM46" s="987"/>
      <c r="FIN46" s="987"/>
      <c r="FIO46" s="987"/>
      <c r="FIP46" s="987"/>
      <c r="FIQ46" s="987"/>
      <c r="FIR46" s="987"/>
      <c r="FIS46" s="987"/>
      <c r="FIT46" s="987"/>
      <c r="FIU46" s="987"/>
      <c r="FIV46" s="987"/>
      <c r="FIW46" s="987"/>
      <c r="FIX46" s="987"/>
      <c r="FIY46" s="987"/>
      <c r="FIZ46" s="987"/>
      <c r="FJA46" s="987"/>
      <c r="FJB46" s="987"/>
      <c r="FJC46" s="987"/>
      <c r="FJD46" s="987"/>
      <c r="FJE46" s="987"/>
      <c r="FJF46" s="987"/>
      <c r="FJG46" s="987"/>
      <c r="FJH46" s="987"/>
      <c r="FJI46" s="987"/>
      <c r="FJJ46" s="987"/>
      <c r="FJK46" s="987"/>
      <c r="FJL46" s="987"/>
      <c r="FJM46" s="987"/>
      <c r="FJN46" s="987"/>
      <c r="FJO46" s="987"/>
      <c r="FJP46" s="987"/>
      <c r="FJQ46" s="987"/>
      <c r="FJR46" s="987"/>
      <c r="FJS46" s="987"/>
      <c r="FJT46" s="987"/>
      <c r="FJU46" s="987"/>
      <c r="FJV46" s="987"/>
      <c r="FJW46" s="987"/>
      <c r="FJX46" s="987"/>
      <c r="FJY46" s="987"/>
      <c r="FJZ46" s="987"/>
      <c r="FKA46" s="987"/>
      <c r="FKB46" s="987"/>
      <c r="FKC46" s="987"/>
      <c r="FKD46" s="987"/>
      <c r="FKE46" s="987"/>
      <c r="FKF46" s="987"/>
      <c r="FKG46" s="987"/>
      <c r="FKH46" s="987"/>
      <c r="FKI46" s="987"/>
      <c r="FKJ46" s="987"/>
      <c r="FKK46" s="987"/>
      <c r="FKL46" s="987"/>
      <c r="FKM46" s="987"/>
      <c r="FKN46" s="987"/>
      <c r="FKO46" s="987"/>
      <c r="FKP46" s="987"/>
      <c r="FKQ46" s="987"/>
      <c r="FKR46" s="987"/>
      <c r="FKS46" s="987"/>
      <c r="FKT46" s="987"/>
      <c r="FKU46" s="987"/>
      <c r="FKV46" s="987"/>
      <c r="FKW46" s="987"/>
      <c r="FKX46" s="987"/>
      <c r="FKY46" s="987"/>
      <c r="FKZ46" s="987"/>
      <c r="FLA46" s="987"/>
      <c r="FLB46" s="987"/>
      <c r="FLC46" s="987"/>
      <c r="FLD46" s="987"/>
      <c r="FLE46" s="987"/>
      <c r="FLF46" s="987"/>
      <c r="FLG46" s="987"/>
      <c r="FLH46" s="987"/>
      <c r="FLI46" s="987"/>
      <c r="FLJ46" s="987"/>
      <c r="FLK46" s="987"/>
      <c r="FLL46" s="987"/>
      <c r="FLM46" s="987"/>
      <c r="FLN46" s="987"/>
      <c r="FLO46" s="987"/>
      <c r="FLP46" s="987"/>
      <c r="FLQ46" s="987"/>
      <c r="FLR46" s="987"/>
      <c r="FLS46" s="987"/>
      <c r="FLT46" s="987"/>
      <c r="FLU46" s="987"/>
      <c r="FLV46" s="987"/>
      <c r="FLW46" s="987"/>
      <c r="FLX46" s="987"/>
      <c r="FLY46" s="987"/>
      <c r="FLZ46" s="987"/>
      <c r="FMA46" s="987"/>
      <c r="FMB46" s="987"/>
      <c r="FMC46" s="987"/>
      <c r="FMD46" s="987"/>
      <c r="FME46" s="987"/>
      <c r="FMF46" s="987"/>
      <c r="FMG46" s="987"/>
      <c r="FMH46" s="987"/>
      <c r="FMI46" s="987"/>
      <c r="FMJ46" s="987"/>
      <c r="FMK46" s="987"/>
      <c r="FML46" s="987"/>
      <c r="FMM46" s="987"/>
      <c r="FMN46" s="987"/>
      <c r="FMO46" s="987"/>
      <c r="FMP46" s="987"/>
      <c r="FMQ46" s="987"/>
      <c r="FMR46" s="987"/>
      <c r="FMS46" s="987"/>
      <c r="FMT46" s="987"/>
      <c r="FMU46" s="987"/>
      <c r="FMV46" s="987"/>
      <c r="FMW46" s="987"/>
      <c r="FMX46" s="987"/>
      <c r="FMY46" s="987"/>
      <c r="FMZ46" s="987"/>
      <c r="FNA46" s="987"/>
      <c r="FNB46" s="987"/>
      <c r="FNC46" s="987"/>
      <c r="FND46" s="987"/>
      <c r="FNE46" s="987"/>
      <c r="FNF46" s="987"/>
      <c r="FNG46" s="987"/>
      <c r="FNH46" s="987"/>
      <c r="FNI46" s="987"/>
      <c r="FNJ46" s="987"/>
      <c r="FNK46" s="987"/>
      <c r="FNL46" s="987"/>
      <c r="FNM46" s="987"/>
      <c r="FNN46" s="987"/>
      <c r="FNO46" s="987"/>
      <c r="FNP46" s="987"/>
      <c r="FNQ46" s="987"/>
      <c r="FNR46" s="987"/>
      <c r="FNS46" s="987"/>
      <c r="FNT46" s="987"/>
      <c r="FNU46" s="987"/>
      <c r="FNV46" s="987"/>
      <c r="FNW46" s="987"/>
      <c r="FNX46" s="987"/>
      <c r="FNY46" s="987"/>
      <c r="FNZ46" s="987"/>
      <c r="FOA46" s="987"/>
      <c r="FOB46" s="987"/>
      <c r="FOC46" s="987"/>
      <c r="FOD46" s="987"/>
      <c r="FOE46" s="987"/>
      <c r="FOF46" s="987"/>
      <c r="FOG46" s="987"/>
      <c r="FOH46" s="987"/>
      <c r="FOI46" s="987"/>
      <c r="FOJ46" s="987"/>
      <c r="FOK46" s="987"/>
      <c r="FOL46" s="987"/>
      <c r="FOM46" s="987"/>
      <c r="FON46" s="987"/>
      <c r="FOO46" s="987"/>
      <c r="FOP46" s="987"/>
      <c r="FOQ46" s="987"/>
      <c r="FOR46" s="987"/>
      <c r="FOS46" s="987"/>
      <c r="FOT46" s="987"/>
      <c r="FOU46" s="987"/>
      <c r="FOV46" s="987"/>
      <c r="FOW46" s="987"/>
      <c r="FOX46" s="987"/>
      <c r="FOY46" s="987"/>
      <c r="FOZ46" s="987"/>
      <c r="FPA46" s="987"/>
      <c r="FPB46" s="987"/>
      <c r="FPC46" s="987"/>
      <c r="FPD46" s="987"/>
      <c r="FPE46" s="987"/>
      <c r="FPF46" s="987"/>
      <c r="FPG46" s="987"/>
      <c r="FPH46" s="987"/>
      <c r="FPI46" s="987"/>
      <c r="FPJ46" s="987"/>
      <c r="FPK46" s="987"/>
      <c r="FPL46" s="987"/>
      <c r="FPM46" s="987"/>
      <c r="FPN46" s="987"/>
      <c r="FPO46" s="987"/>
      <c r="FPP46" s="987"/>
      <c r="FPQ46" s="987"/>
      <c r="FPR46" s="987"/>
      <c r="FPS46" s="987"/>
      <c r="FPT46" s="987"/>
      <c r="FPU46" s="987"/>
      <c r="FPV46" s="987"/>
      <c r="FPW46" s="987"/>
      <c r="FPX46" s="987"/>
      <c r="FPY46" s="987"/>
      <c r="FPZ46" s="987"/>
      <c r="FQA46" s="987"/>
      <c r="FQB46" s="987"/>
      <c r="FQC46" s="987"/>
      <c r="FQD46" s="987"/>
      <c r="FQE46" s="987"/>
      <c r="FQF46" s="987"/>
      <c r="FQG46" s="987"/>
      <c r="FQH46" s="987"/>
      <c r="FQI46" s="987"/>
      <c r="FQJ46" s="987"/>
      <c r="FQK46" s="987"/>
      <c r="FQL46" s="987"/>
      <c r="FQM46" s="987"/>
      <c r="FQN46" s="987"/>
      <c r="FQO46" s="987"/>
      <c r="FQP46" s="987"/>
      <c r="FQQ46" s="987"/>
      <c r="FQR46" s="987"/>
      <c r="FQS46" s="987"/>
      <c r="FQT46" s="987"/>
      <c r="FQU46" s="987"/>
      <c r="FQV46" s="987"/>
      <c r="FQW46" s="987"/>
      <c r="FQX46" s="987"/>
      <c r="FQY46" s="987"/>
      <c r="FQZ46" s="987"/>
      <c r="FRA46" s="987"/>
      <c r="FRB46" s="987"/>
      <c r="FRC46" s="987"/>
      <c r="FRD46" s="987"/>
      <c r="FRE46" s="987"/>
      <c r="FRF46" s="987"/>
      <c r="FRG46" s="987"/>
      <c r="FRH46" s="987"/>
      <c r="FRI46" s="987"/>
      <c r="FRJ46" s="987"/>
      <c r="FRK46" s="987"/>
      <c r="FRL46" s="987"/>
      <c r="FRM46" s="987"/>
      <c r="FRN46" s="987"/>
      <c r="FRO46" s="987"/>
      <c r="FRP46" s="987"/>
      <c r="FRQ46" s="987"/>
      <c r="FRR46" s="987"/>
      <c r="FRS46" s="987"/>
      <c r="FRT46" s="987"/>
      <c r="FRU46" s="987"/>
      <c r="FRV46" s="987"/>
      <c r="FRW46" s="987"/>
      <c r="FRX46" s="987"/>
      <c r="FRY46" s="987"/>
      <c r="FRZ46" s="987"/>
      <c r="FSA46" s="987"/>
      <c r="FSB46" s="987"/>
      <c r="FSC46" s="987"/>
      <c r="FSD46" s="987"/>
      <c r="FSE46" s="987"/>
      <c r="FSF46" s="987"/>
      <c r="FSG46" s="987"/>
      <c r="FSH46" s="987"/>
      <c r="FSI46" s="987"/>
      <c r="FSJ46" s="987"/>
      <c r="FSK46" s="987"/>
      <c r="FSL46" s="987"/>
      <c r="FSM46" s="987"/>
      <c r="FSN46" s="987"/>
      <c r="FSO46" s="987"/>
      <c r="FSP46" s="987"/>
      <c r="FSQ46" s="987"/>
      <c r="FSR46" s="987"/>
      <c r="FSS46" s="987"/>
      <c r="FST46" s="987"/>
      <c r="FSU46" s="987"/>
      <c r="FSV46" s="987"/>
      <c r="FSW46" s="987"/>
      <c r="FSX46" s="987"/>
      <c r="FSY46" s="987"/>
      <c r="FSZ46" s="987"/>
      <c r="FTA46" s="987"/>
      <c r="FTB46" s="987"/>
      <c r="FTC46" s="987"/>
      <c r="FTD46" s="987"/>
      <c r="FTE46" s="987"/>
      <c r="FTF46" s="987"/>
      <c r="FTG46" s="987"/>
      <c r="FTH46" s="987"/>
      <c r="FTI46" s="987"/>
      <c r="FTJ46" s="987"/>
      <c r="FTK46" s="987"/>
      <c r="FTL46" s="987"/>
      <c r="FTM46" s="987"/>
      <c r="FTN46" s="987"/>
      <c r="FTO46" s="987"/>
      <c r="FTP46" s="987"/>
      <c r="FTQ46" s="987"/>
      <c r="FTR46" s="987"/>
      <c r="FTS46" s="987"/>
      <c r="FTT46" s="987"/>
      <c r="FTU46" s="987"/>
      <c r="FTV46" s="987"/>
      <c r="FTW46" s="987"/>
      <c r="FTX46" s="987"/>
      <c r="FTY46" s="987"/>
      <c r="FTZ46" s="987"/>
      <c r="FUA46" s="987"/>
      <c r="FUB46" s="987"/>
      <c r="FUC46" s="987"/>
      <c r="FUD46" s="987"/>
      <c r="FUE46" s="987"/>
      <c r="FUF46" s="987"/>
      <c r="FUG46" s="987"/>
      <c r="FUH46" s="987"/>
      <c r="FUI46" s="987"/>
      <c r="FUJ46" s="987"/>
      <c r="FUK46" s="987"/>
      <c r="FUL46" s="987"/>
      <c r="FUM46" s="987"/>
      <c r="FUN46" s="987"/>
      <c r="FUO46" s="987"/>
      <c r="FUP46" s="987"/>
      <c r="FUQ46" s="987"/>
      <c r="FUR46" s="987"/>
      <c r="FUS46" s="987"/>
      <c r="FUT46" s="987"/>
      <c r="FUU46" s="987"/>
      <c r="FUV46" s="987"/>
      <c r="FUW46" s="987"/>
      <c r="FUX46" s="987"/>
      <c r="FUY46" s="987"/>
      <c r="FUZ46" s="987"/>
      <c r="FVA46" s="987"/>
      <c r="FVB46" s="987"/>
      <c r="FVC46" s="987"/>
      <c r="FVD46" s="987"/>
      <c r="FVE46" s="987"/>
      <c r="FVF46" s="987"/>
      <c r="FVG46" s="987"/>
      <c r="FVH46" s="987"/>
      <c r="FVI46" s="987"/>
      <c r="FVJ46" s="987"/>
      <c r="FVK46" s="987"/>
      <c r="FVL46" s="987"/>
      <c r="FVM46" s="987"/>
      <c r="FVN46" s="987"/>
      <c r="FVO46" s="987"/>
      <c r="FVP46" s="987"/>
      <c r="FVQ46" s="987"/>
      <c r="FVR46" s="987"/>
      <c r="FVS46" s="987"/>
      <c r="FVT46" s="987"/>
      <c r="FVU46" s="987"/>
      <c r="FVV46" s="987"/>
      <c r="FVW46" s="987"/>
      <c r="FVX46" s="987"/>
      <c r="FVY46" s="987"/>
      <c r="FVZ46" s="987"/>
      <c r="FWA46" s="987"/>
      <c r="FWB46" s="987"/>
      <c r="FWC46" s="987"/>
      <c r="FWD46" s="987"/>
      <c r="FWE46" s="987"/>
      <c r="FWF46" s="987"/>
      <c r="FWG46" s="987"/>
      <c r="FWH46" s="987"/>
      <c r="FWI46" s="987"/>
      <c r="FWJ46" s="987"/>
      <c r="FWK46" s="987"/>
      <c r="FWL46" s="987"/>
      <c r="FWM46" s="987"/>
      <c r="FWN46" s="987"/>
      <c r="FWO46" s="987"/>
      <c r="FWP46" s="987"/>
      <c r="FWQ46" s="987"/>
      <c r="FWR46" s="987"/>
      <c r="FWS46" s="987"/>
      <c r="FWT46" s="987"/>
      <c r="FWU46" s="987"/>
      <c r="FWV46" s="987"/>
      <c r="FWW46" s="987"/>
      <c r="FWX46" s="987"/>
      <c r="FWY46" s="987"/>
      <c r="FWZ46" s="987"/>
      <c r="FXA46" s="987"/>
      <c r="FXB46" s="987"/>
      <c r="FXC46" s="987"/>
      <c r="FXD46" s="987"/>
      <c r="FXE46" s="987"/>
      <c r="FXF46" s="987"/>
      <c r="FXG46" s="987"/>
      <c r="FXH46" s="987"/>
      <c r="FXI46" s="987"/>
      <c r="FXJ46" s="987"/>
      <c r="FXK46" s="987"/>
      <c r="FXL46" s="987"/>
      <c r="FXM46" s="987"/>
      <c r="FXN46" s="987"/>
      <c r="FXO46" s="987"/>
      <c r="FXP46" s="987"/>
      <c r="FXQ46" s="987"/>
      <c r="FXR46" s="987"/>
      <c r="FXS46" s="987"/>
      <c r="FXT46" s="987"/>
      <c r="FXU46" s="987"/>
      <c r="FXV46" s="987"/>
      <c r="FXW46" s="987"/>
      <c r="FXX46" s="987"/>
      <c r="FXY46" s="987"/>
      <c r="FXZ46" s="987"/>
      <c r="FYA46" s="987"/>
      <c r="FYB46" s="987"/>
      <c r="FYC46" s="987"/>
      <c r="FYD46" s="987"/>
      <c r="FYE46" s="987"/>
      <c r="FYF46" s="987"/>
      <c r="FYG46" s="987"/>
      <c r="FYH46" s="987"/>
      <c r="FYI46" s="987"/>
      <c r="FYJ46" s="987"/>
      <c r="FYK46" s="987"/>
      <c r="FYL46" s="987"/>
      <c r="FYM46" s="987"/>
      <c r="FYN46" s="987"/>
      <c r="FYO46" s="987"/>
      <c r="FYP46" s="987"/>
      <c r="FYQ46" s="987"/>
      <c r="FYR46" s="987"/>
      <c r="FYS46" s="987"/>
      <c r="FYT46" s="987"/>
      <c r="FYU46" s="987"/>
      <c r="FYV46" s="987"/>
      <c r="FYW46" s="987"/>
      <c r="FYX46" s="987"/>
      <c r="FYY46" s="987"/>
      <c r="FYZ46" s="987"/>
      <c r="FZA46" s="987"/>
      <c r="FZB46" s="987"/>
      <c r="FZC46" s="987"/>
      <c r="FZD46" s="987"/>
      <c r="FZE46" s="987"/>
      <c r="FZF46" s="987"/>
      <c r="FZG46" s="987"/>
      <c r="FZH46" s="987"/>
      <c r="FZI46" s="987"/>
      <c r="FZJ46" s="987"/>
      <c r="FZK46" s="987"/>
      <c r="FZL46" s="987"/>
      <c r="FZM46" s="987"/>
      <c r="FZN46" s="987"/>
      <c r="FZO46" s="987"/>
      <c r="FZP46" s="987"/>
      <c r="FZQ46" s="987"/>
      <c r="FZR46" s="987"/>
      <c r="FZS46" s="987"/>
      <c r="FZT46" s="987"/>
      <c r="FZU46" s="987"/>
      <c r="FZV46" s="987"/>
      <c r="FZW46" s="987"/>
      <c r="FZX46" s="987"/>
      <c r="FZY46" s="987"/>
      <c r="FZZ46" s="987"/>
      <c r="GAA46" s="987"/>
      <c r="GAB46" s="987"/>
      <c r="GAC46" s="987"/>
      <c r="GAD46" s="987"/>
      <c r="GAE46" s="987"/>
      <c r="GAF46" s="987"/>
      <c r="GAG46" s="987"/>
      <c r="GAH46" s="987"/>
      <c r="GAI46" s="987"/>
      <c r="GAJ46" s="987"/>
      <c r="GAK46" s="987"/>
      <c r="GAL46" s="987"/>
      <c r="GAM46" s="987"/>
      <c r="GAN46" s="987"/>
      <c r="GAO46" s="987"/>
      <c r="GAP46" s="987"/>
      <c r="GAQ46" s="987"/>
      <c r="GAR46" s="987"/>
      <c r="GAS46" s="987"/>
      <c r="GAT46" s="987"/>
      <c r="GAU46" s="987"/>
      <c r="GAV46" s="987"/>
      <c r="GAW46" s="987"/>
      <c r="GAX46" s="987"/>
      <c r="GAY46" s="987"/>
      <c r="GAZ46" s="987"/>
      <c r="GBA46" s="987"/>
      <c r="GBB46" s="987"/>
      <c r="GBC46" s="987"/>
      <c r="GBD46" s="987"/>
      <c r="GBE46" s="987"/>
      <c r="GBF46" s="987"/>
      <c r="GBG46" s="987"/>
      <c r="GBH46" s="987"/>
      <c r="GBI46" s="987"/>
      <c r="GBJ46" s="987"/>
      <c r="GBK46" s="987"/>
      <c r="GBL46" s="987"/>
      <c r="GBM46" s="987"/>
      <c r="GBN46" s="987"/>
      <c r="GBO46" s="987"/>
      <c r="GBP46" s="987"/>
      <c r="GBQ46" s="987"/>
      <c r="GBR46" s="987"/>
      <c r="GBS46" s="987"/>
      <c r="GBT46" s="987"/>
      <c r="GBU46" s="987"/>
      <c r="GBV46" s="987"/>
      <c r="GBW46" s="987"/>
      <c r="GBX46" s="987"/>
      <c r="GBY46" s="987"/>
      <c r="GBZ46" s="987"/>
      <c r="GCA46" s="987"/>
      <c r="GCB46" s="987"/>
      <c r="GCC46" s="987"/>
      <c r="GCD46" s="987"/>
      <c r="GCE46" s="987"/>
      <c r="GCF46" s="987"/>
      <c r="GCG46" s="987"/>
      <c r="GCH46" s="987"/>
      <c r="GCI46" s="987"/>
      <c r="GCJ46" s="987"/>
      <c r="GCK46" s="987"/>
      <c r="GCL46" s="987"/>
      <c r="GCM46" s="987"/>
      <c r="GCN46" s="987"/>
      <c r="GCO46" s="987"/>
      <c r="GCP46" s="987"/>
      <c r="GCQ46" s="987"/>
      <c r="GCR46" s="987"/>
      <c r="GCS46" s="987"/>
      <c r="GCT46" s="987"/>
      <c r="GCU46" s="987"/>
      <c r="GCV46" s="987"/>
      <c r="GCW46" s="987"/>
      <c r="GCX46" s="987"/>
      <c r="GCY46" s="987"/>
      <c r="GCZ46" s="987"/>
      <c r="GDA46" s="987"/>
      <c r="GDB46" s="987"/>
      <c r="GDC46" s="987"/>
      <c r="GDD46" s="987"/>
      <c r="GDE46" s="987"/>
      <c r="GDF46" s="987"/>
      <c r="GDG46" s="987"/>
      <c r="GDH46" s="987"/>
      <c r="GDI46" s="987"/>
      <c r="GDJ46" s="987"/>
      <c r="GDK46" s="987"/>
      <c r="GDL46" s="987"/>
      <c r="GDM46" s="987"/>
      <c r="GDN46" s="987"/>
      <c r="GDO46" s="987"/>
      <c r="GDP46" s="987"/>
      <c r="GDQ46" s="987"/>
      <c r="GDR46" s="987"/>
      <c r="GDS46" s="987"/>
      <c r="GDT46" s="987"/>
      <c r="GDU46" s="987"/>
      <c r="GDV46" s="987"/>
      <c r="GDW46" s="987"/>
      <c r="GDX46" s="987"/>
      <c r="GDY46" s="987"/>
      <c r="GDZ46" s="987"/>
      <c r="GEA46" s="987"/>
      <c r="GEB46" s="987"/>
      <c r="GEC46" s="987"/>
      <c r="GED46" s="987"/>
      <c r="GEE46" s="987"/>
      <c r="GEF46" s="987"/>
      <c r="GEG46" s="987"/>
      <c r="GEH46" s="987"/>
      <c r="GEI46" s="987"/>
      <c r="GEJ46" s="987"/>
      <c r="GEK46" s="987"/>
      <c r="GEL46" s="987"/>
      <c r="GEM46" s="987"/>
      <c r="GEN46" s="987"/>
      <c r="GEO46" s="987"/>
      <c r="GEP46" s="987"/>
      <c r="GEQ46" s="987"/>
      <c r="GER46" s="987"/>
      <c r="GES46" s="987"/>
      <c r="GET46" s="987"/>
      <c r="GEU46" s="987"/>
      <c r="GEV46" s="987"/>
      <c r="GEW46" s="987"/>
      <c r="GEX46" s="987"/>
      <c r="GEY46" s="987"/>
      <c r="GEZ46" s="987"/>
      <c r="GFA46" s="987"/>
      <c r="GFB46" s="987"/>
      <c r="GFC46" s="987"/>
      <c r="GFD46" s="987"/>
      <c r="GFE46" s="987"/>
      <c r="GFF46" s="987"/>
      <c r="GFG46" s="987"/>
      <c r="GFH46" s="987"/>
      <c r="GFI46" s="987"/>
      <c r="GFJ46" s="987"/>
      <c r="GFK46" s="987"/>
      <c r="GFL46" s="987"/>
      <c r="GFM46" s="987"/>
      <c r="GFN46" s="987"/>
      <c r="GFO46" s="987"/>
      <c r="GFP46" s="987"/>
      <c r="GFQ46" s="987"/>
      <c r="GFR46" s="987"/>
      <c r="GFS46" s="987"/>
      <c r="GFT46" s="987"/>
      <c r="GFU46" s="987"/>
      <c r="GFV46" s="987"/>
      <c r="GFW46" s="987"/>
      <c r="GFX46" s="987"/>
      <c r="GFY46" s="987"/>
      <c r="GFZ46" s="987"/>
      <c r="GGA46" s="987"/>
      <c r="GGB46" s="987"/>
      <c r="GGC46" s="987"/>
      <c r="GGD46" s="987"/>
      <c r="GGE46" s="987"/>
      <c r="GGF46" s="987"/>
      <c r="GGG46" s="987"/>
      <c r="GGH46" s="987"/>
      <c r="GGI46" s="987"/>
      <c r="GGJ46" s="987"/>
      <c r="GGK46" s="987"/>
      <c r="GGL46" s="987"/>
      <c r="GGM46" s="987"/>
      <c r="GGN46" s="987"/>
      <c r="GGO46" s="987"/>
      <c r="GGP46" s="987"/>
      <c r="GGQ46" s="987"/>
      <c r="GGR46" s="987"/>
      <c r="GGS46" s="987"/>
      <c r="GGT46" s="987"/>
      <c r="GGU46" s="987"/>
      <c r="GGV46" s="987"/>
      <c r="GGW46" s="987"/>
      <c r="GGX46" s="987"/>
      <c r="GGY46" s="987"/>
      <c r="GGZ46" s="987"/>
      <c r="GHA46" s="987"/>
      <c r="GHB46" s="987"/>
      <c r="GHC46" s="987"/>
      <c r="GHD46" s="987"/>
      <c r="GHE46" s="987"/>
      <c r="GHF46" s="987"/>
      <c r="GHG46" s="987"/>
      <c r="GHH46" s="987"/>
      <c r="GHI46" s="987"/>
      <c r="GHJ46" s="987"/>
      <c r="GHK46" s="987"/>
      <c r="GHL46" s="987"/>
      <c r="GHM46" s="987"/>
      <c r="GHN46" s="987"/>
      <c r="GHO46" s="987"/>
      <c r="GHP46" s="987"/>
      <c r="GHQ46" s="987"/>
      <c r="GHR46" s="987"/>
      <c r="GHS46" s="987"/>
      <c r="GHT46" s="987"/>
      <c r="GHU46" s="987"/>
      <c r="GHV46" s="987"/>
      <c r="GHW46" s="987"/>
      <c r="GHX46" s="987"/>
      <c r="GHY46" s="987"/>
      <c r="GHZ46" s="987"/>
      <c r="GIA46" s="987"/>
      <c r="GIB46" s="987"/>
      <c r="GIC46" s="987"/>
      <c r="GID46" s="987"/>
      <c r="GIE46" s="987"/>
      <c r="GIF46" s="987"/>
      <c r="GIG46" s="987"/>
      <c r="GIH46" s="987"/>
      <c r="GII46" s="987"/>
      <c r="GIJ46" s="987"/>
      <c r="GIK46" s="987"/>
      <c r="GIL46" s="987"/>
      <c r="GIM46" s="987"/>
      <c r="GIN46" s="987"/>
      <c r="GIO46" s="987"/>
      <c r="GIP46" s="987"/>
      <c r="GIQ46" s="987"/>
      <c r="GIR46" s="987"/>
      <c r="GIS46" s="987"/>
      <c r="GIT46" s="987"/>
      <c r="GIU46" s="987"/>
      <c r="GIV46" s="987"/>
      <c r="GIW46" s="987"/>
      <c r="GIX46" s="987"/>
      <c r="GIY46" s="987"/>
      <c r="GIZ46" s="987"/>
      <c r="GJA46" s="987"/>
      <c r="GJB46" s="987"/>
      <c r="GJC46" s="987"/>
      <c r="GJD46" s="987"/>
      <c r="GJE46" s="987"/>
      <c r="GJF46" s="987"/>
      <c r="GJG46" s="987"/>
      <c r="GJH46" s="987"/>
      <c r="GJI46" s="987"/>
      <c r="GJJ46" s="987"/>
      <c r="GJK46" s="987"/>
      <c r="GJL46" s="987"/>
      <c r="GJM46" s="987"/>
      <c r="GJN46" s="987"/>
      <c r="GJO46" s="987"/>
      <c r="GJP46" s="987"/>
      <c r="GJQ46" s="987"/>
      <c r="GJR46" s="987"/>
      <c r="GJS46" s="987"/>
      <c r="GJT46" s="987"/>
      <c r="GJU46" s="987"/>
      <c r="GJV46" s="987"/>
      <c r="GJW46" s="987"/>
      <c r="GJX46" s="987"/>
      <c r="GJY46" s="987"/>
      <c r="GJZ46" s="987"/>
      <c r="GKA46" s="987"/>
      <c r="GKB46" s="987"/>
      <c r="GKC46" s="987"/>
      <c r="GKD46" s="987"/>
      <c r="GKE46" s="987"/>
      <c r="GKF46" s="987"/>
      <c r="GKG46" s="987"/>
      <c r="GKH46" s="987"/>
      <c r="GKI46" s="987"/>
      <c r="GKJ46" s="987"/>
      <c r="GKK46" s="987"/>
      <c r="GKL46" s="987"/>
      <c r="GKM46" s="987"/>
      <c r="GKN46" s="987"/>
      <c r="GKO46" s="987"/>
      <c r="GKP46" s="987"/>
      <c r="GKQ46" s="987"/>
      <c r="GKR46" s="987"/>
      <c r="GKS46" s="987"/>
      <c r="GKT46" s="987"/>
      <c r="GKU46" s="987"/>
      <c r="GKV46" s="987"/>
      <c r="GKW46" s="987"/>
      <c r="GKX46" s="987"/>
      <c r="GKY46" s="987"/>
      <c r="GKZ46" s="987"/>
      <c r="GLA46" s="987"/>
      <c r="GLB46" s="987"/>
      <c r="GLC46" s="987"/>
      <c r="GLD46" s="987"/>
      <c r="GLE46" s="987"/>
      <c r="GLF46" s="987"/>
      <c r="GLG46" s="987"/>
      <c r="GLH46" s="987"/>
      <c r="GLI46" s="987"/>
      <c r="GLJ46" s="987"/>
      <c r="GLK46" s="987"/>
      <c r="GLL46" s="987"/>
      <c r="GLM46" s="987"/>
      <c r="GLN46" s="987"/>
      <c r="GLO46" s="987"/>
      <c r="GLP46" s="987"/>
      <c r="GLQ46" s="987"/>
      <c r="GLR46" s="987"/>
      <c r="GLS46" s="987"/>
      <c r="GLT46" s="987"/>
      <c r="GLU46" s="987"/>
      <c r="GLV46" s="987"/>
      <c r="GLW46" s="987"/>
      <c r="GLX46" s="987"/>
      <c r="GLY46" s="987"/>
      <c r="GLZ46" s="987"/>
      <c r="GMA46" s="987"/>
      <c r="GMB46" s="987"/>
      <c r="GMC46" s="987"/>
      <c r="GMD46" s="987"/>
      <c r="GME46" s="987"/>
      <c r="GMF46" s="987"/>
      <c r="GMG46" s="987"/>
      <c r="GMH46" s="987"/>
      <c r="GMI46" s="987"/>
      <c r="GMJ46" s="987"/>
      <c r="GMK46" s="987"/>
      <c r="GML46" s="987"/>
      <c r="GMM46" s="987"/>
      <c r="GMN46" s="987"/>
      <c r="GMO46" s="987"/>
      <c r="GMP46" s="987"/>
      <c r="GMQ46" s="987"/>
      <c r="GMR46" s="987"/>
      <c r="GMS46" s="987"/>
      <c r="GMT46" s="987"/>
      <c r="GMU46" s="987"/>
      <c r="GMV46" s="987"/>
      <c r="GMW46" s="987"/>
      <c r="GMX46" s="987"/>
      <c r="GMY46" s="987"/>
      <c r="GMZ46" s="987"/>
      <c r="GNA46" s="987"/>
      <c r="GNB46" s="987"/>
      <c r="GNC46" s="987"/>
      <c r="GND46" s="987"/>
      <c r="GNE46" s="987"/>
      <c r="GNF46" s="987"/>
      <c r="GNG46" s="987"/>
      <c r="GNH46" s="987"/>
      <c r="GNI46" s="987"/>
      <c r="GNJ46" s="987"/>
      <c r="GNK46" s="987"/>
      <c r="GNL46" s="987"/>
      <c r="GNM46" s="987"/>
      <c r="GNN46" s="987"/>
      <c r="GNO46" s="987"/>
      <c r="GNP46" s="987"/>
      <c r="GNQ46" s="987"/>
      <c r="GNR46" s="987"/>
      <c r="GNS46" s="987"/>
      <c r="GNT46" s="987"/>
      <c r="GNU46" s="987"/>
      <c r="GNV46" s="987"/>
      <c r="GNW46" s="987"/>
      <c r="GNX46" s="987"/>
      <c r="GNY46" s="987"/>
      <c r="GNZ46" s="987"/>
      <c r="GOA46" s="987"/>
      <c r="GOB46" s="987"/>
      <c r="GOC46" s="987"/>
      <c r="GOD46" s="987"/>
      <c r="GOE46" s="987"/>
      <c r="GOF46" s="987"/>
      <c r="GOG46" s="987"/>
      <c r="GOH46" s="987"/>
      <c r="GOI46" s="987"/>
      <c r="GOJ46" s="987"/>
      <c r="GOK46" s="987"/>
      <c r="GOL46" s="987"/>
      <c r="GOM46" s="987"/>
      <c r="GON46" s="987"/>
      <c r="GOO46" s="987"/>
      <c r="GOP46" s="987"/>
      <c r="GOQ46" s="987"/>
      <c r="GOR46" s="987"/>
      <c r="GOS46" s="987"/>
      <c r="GOT46" s="987"/>
      <c r="GOU46" s="987"/>
      <c r="GOV46" s="987"/>
      <c r="GOW46" s="987"/>
      <c r="GOX46" s="987"/>
      <c r="GOY46" s="987"/>
      <c r="GOZ46" s="987"/>
      <c r="GPA46" s="987"/>
      <c r="GPB46" s="987"/>
      <c r="GPC46" s="987"/>
      <c r="GPD46" s="987"/>
      <c r="GPE46" s="987"/>
      <c r="GPF46" s="987"/>
      <c r="GPG46" s="987"/>
      <c r="GPH46" s="987"/>
      <c r="GPI46" s="987"/>
      <c r="GPJ46" s="987"/>
      <c r="GPK46" s="987"/>
      <c r="GPL46" s="987"/>
      <c r="GPM46" s="987"/>
      <c r="GPN46" s="987"/>
      <c r="GPO46" s="987"/>
      <c r="GPP46" s="987"/>
      <c r="GPQ46" s="987"/>
      <c r="GPR46" s="987"/>
      <c r="GPS46" s="987"/>
      <c r="GPT46" s="987"/>
      <c r="GPU46" s="987"/>
      <c r="GPV46" s="987"/>
      <c r="GPW46" s="987"/>
      <c r="GPX46" s="987"/>
      <c r="GPY46" s="987"/>
      <c r="GPZ46" s="987"/>
      <c r="GQA46" s="987"/>
      <c r="GQB46" s="987"/>
      <c r="GQC46" s="987"/>
      <c r="GQD46" s="987"/>
      <c r="GQE46" s="987"/>
      <c r="GQF46" s="987"/>
      <c r="GQG46" s="987"/>
      <c r="GQH46" s="987"/>
      <c r="GQI46" s="987"/>
      <c r="GQJ46" s="987"/>
      <c r="GQK46" s="987"/>
      <c r="GQL46" s="987"/>
      <c r="GQM46" s="987"/>
      <c r="GQN46" s="987"/>
      <c r="GQO46" s="987"/>
      <c r="GQP46" s="987"/>
      <c r="GQQ46" s="987"/>
      <c r="GQR46" s="987"/>
      <c r="GQS46" s="987"/>
      <c r="GQT46" s="987"/>
      <c r="GQU46" s="987"/>
      <c r="GQV46" s="987"/>
      <c r="GQW46" s="987"/>
      <c r="GQX46" s="987"/>
      <c r="GQY46" s="987"/>
      <c r="GQZ46" s="987"/>
      <c r="GRA46" s="987"/>
      <c r="GRB46" s="987"/>
      <c r="GRC46" s="987"/>
      <c r="GRD46" s="987"/>
      <c r="GRE46" s="987"/>
      <c r="GRF46" s="987"/>
      <c r="GRG46" s="987"/>
      <c r="GRH46" s="987"/>
      <c r="GRI46" s="987"/>
      <c r="GRJ46" s="987"/>
      <c r="GRK46" s="987"/>
      <c r="GRL46" s="987"/>
      <c r="GRM46" s="987"/>
      <c r="GRN46" s="987"/>
      <c r="GRO46" s="987"/>
      <c r="GRP46" s="987"/>
      <c r="GRQ46" s="987"/>
      <c r="GRR46" s="987"/>
      <c r="GRS46" s="987"/>
      <c r="GRT46" s="987"/>
      <c r="GRU46" s="987"/>
      <c r="GRV46" s="987"/>
      <c r="GRW46" s="987"/>
      <c r="GRX46" s="987"/>
      <c r="GRY46" s="987"/>
      <c r="GRZ46" s="987"/>
      <c r="GSA46" s="987"/>
      <c r="GSB46" s="987"/>
      <c r="GSC46" s="987"/>
      <c r="GSD46" s="987"/>
      <c r="GSE46" s="987"/>
      <c r="GSF46" s="987"/>
      <c r="GSG46" s="987"/>
      <c r="GSH46" s="987"/>
      <c r="GSI46" s="987"/>
      <c r="GSJ46" s="987"/>
      <c r="GSK46" s="987"/>
      <c r="GSL46" s="987"/>
      <c r="GSM46" s="987"/>
      <c r="GSN46" s="987"/>
      <c r="GSO46" s="987"/>
      <c r="GSP46" s="987"/>
      <c r="GSQ46" s="987"/>
      <c r="GSR46" s="987"/>
      <c r="GSS46" s="987"/>
      <c r="GST46" s="987"/>
      <c r="GSU46" s="987"/>
      <c r="GSV46" s="987"/>
      <c r="GSW46" s="987"/>
      <c r="GSX46" s="987"/>
      <c r="GSY46" s="987"/>
      <c r="GSZ46" s="987"/>
      <c r="GTA46" s="987"/>
      <c r="GTB46" s="987"/>
      <c r="GTC46" s="987"/>
      <c r="GTD46" s="987"/>
      <c r="GTE46" s="987"/>
      <c r="GTF46" s="987"/>
      <c r="GTG46" s="987"/>
      <c r="GTH46" s="987"/>
      <c r="GTI46" s="987"/>
      <c r="GTJ46" s="987"/>
      <c r="GTK46" s="987"/>
      <c r="GTL46" s="987"/>
      <c r="GTM46" s="987"/>
      <c r="GTN46" s="987"/>
      <c r="GTO46" s="987"/>
      <c r="GTP46" s="987"/>
      <c r="GTQ46" s="987"/>
      <c r="GTR46" s="987"/>
      <c r="GTS46" s="987"/>
      <c r="GTT46" s="987"/>
      <c r="GTU46" s="987"/>
      <c r="GTV46" s="987"/>
      <c r="GTW46" s="987"/>
      <c r="GTX46" s="987"/>
      <c r="GTY46" s="987"/>
      <c r="GTZ46" s="987"/>
      <c r="GUA46" s="987"/>
      <c r="GUB46" s="987"/>
      <c r="GUC46" s="987"/>
      <c r="GUD46" s="987"/>
      <c r="GUE46" s="987"/>
      <c r="GUF46" s="987"/>
      <c r="GUG46" s="987"/>
      <c r="GUH46" s="987"/>
      <c r="GUI46" s="987"/>
      <c r="GUJ46" s="987"/>
      <c r="GUK46" s="987"/>
      <c r="GUL46" s="987"/>
      <c r="GUM46" s="987"/>
      <c r="GUN46" s="987"/>
      <c r="GUO46" s="987"/>
      <c r="GUP46" s="987"/>
      <c r="GUQ46" s="987"/>
      <c r="GUR46" s="987"/>
      <c r="GUS46" s="987"/>
      <c r="GUT46" s="987"/>
      <c r="GUU46" s="987"/>
      <c r="GUV46" s="987"/>
      <c r="GUW46" s="987"/>
      <c r="GUX46" s="987"/>
      <c r="GUY46" s="987"/>
      <c r="GUZ46" s="987"/>
      <c r="GVA46" s="987"/>
      <c r="GVB46" s="987"/>
      <c r="GVC46" s="987"/>
      <c r="GVD46" s="987"/>
      <c r="GVE46" s="987"/>
      <c r="GVF46" s="987"/>
      <c r="GVG46" s="987"/>
      <c r="GVH46" s="987"/>
      <c r="GVI46" s="987"/>
      <c r="GVJ46" s="987"/>
      <c r="GVK46" s="987"/>
      <c r="GVL46" s="987"/>
      <c r="GVM46" s="987"/>
      <c r="GVN46" s="987"/>
      <c r="GVO46" s="987"/>
      <c r="GVP46" s="987"/>
      <c r="GVQ46" s="987"/>
      <c r="GVR46" s="987"/>
      <c r="GVS46" s="987"/>
      <c r="GVT46" s="987"/>
      <c r="GVU46" s="987"/>
      <c r="GVV46" s="987"/>
      <c r="GVW46" s="987"/>
      <c r="GVX46" s="987"/>
      <c r="GVY46" s="987"/>
      <c r="GVZ46" s="987"/>
      <c r="GWA46" s="987"/>
      <c r="GWB46" s="987"/>
      <c r="GWC46" s="987"/>
      <c r="GWD46" s="987"/>
      <c r="GWE46" s="987"/>
      <c r="GWF46" s="987"/>
      <c r="GWG46" s="987"/>
      <c r="GWH46" s="987"/>
      <c r="GWI46" s="987"/>
      <c r="GWJ46" s="987"/>
      <c r="GWK46" s="987"/>
      <c r="GWL46" s="987"/>
      <c r="GWM46" s="987"/>
      <c r="GWN46" s="987"/>
      <c r="GWO46" s="987"/>
      <c r="GWP46" s="987"/>
      <c r="GWQ46" s="987"/>
      <c r="GWR46" s="987"/>
      <c r="GWS46" s="987"/>
      <c r="GWT46" s="987"/>
      <c r="GWU46" s="987"/>
      <c r="GWV46" s="987"/>
      <c r="GWW46" s="987"/>
      <c r="GWX46" s="987"/>
      <c r="GWY46" s="987"/>
      <c r="GWZ46" s="987"/>
      <c r="GXA46" s="987"/>
      <c r="GXB46" s="987"/>
      <c r="GXC46" s="987"/>
      <c r="GXD46" s="987"/>
      <c r="GXE46" s="987"/>
      <c r="GXF46" s="987"/>
      <c r="GXG46" s="987"/>
      <c r="GXH46" s="987"/>
      <c r="GXI46" s="987"/>
      <c r="GXJ46" s="987"/>
      <c r="GXK46" s="987"/>
      <c r="GXL46" s="987"/>
      <c r="GXM46" s="987"/>
      <c r="GXN46" s="987"/>
      <c r="GXO46" s="987"/>
      <c r="GXP46" s="987"/>
      <c r="GXQ46" s="987"/>
      <c r="GXR46" s="987"/>
      <c r="GXS46" s="987"/>
      <c r="GXT46" s="987"/>
      <c r="GXU46" s="987"/>
      <c r="GXV46" s="987"/>
      <c r="GXW46" s="987"/>
      <c r="GXX46" s="987"/>
      <c r="GXY46" s="987"/>
      <c r="GXZ46" s="987"/>
      <c r="GYA46" s="987"/>
      <c r="GYB46" s="987"/>
      <c r="GYC46" s="987"/>
      <c r="GYD46" s="987"/>
      <c r="GYE46" s="987"/>
      <c r="GYF46" s="987"/>
      <c r="GYG46" s="987"/>
      <c r="GYH46" s="987"/>
      <c r="GYI46" s="987"/>
      <c r="GYJ46" s="987"/>
      <c r="GYK46" s="987"/>
      <c r="GYL46" s="987"/>
      <c r="GYM46" s="987"/>
      <c r="GYN46" s="987"/>
      <c r="GYO46" s="987"/>
      <c r="GYP46" s="987"/>
      <c r="GYQ46" s="987"/>
      <c r="GYR46" s="987"/>
      <c r="GYS46" s="987"/>
      <c r="GYT46" s="987"/>
      <c r="GYU46" s="987"/>
      <c r="GYV46" s="987"/>
      <c r="GYW46" s="987"/>
      <c r="GYX46" s="987"/>
      <c r="GYY46" s="987"/>
      <c r="GYZ46" s="987"/>
      <c r="GZA46" s="987"/>
      <c r="GZB46" s="987"/>
      <c r="GZC46" s="987"/>
      <c r="GZD46" s="987"/>
      <c r="GZE46" s="987"/>
      <c r="GZF46" s="987"/>
      <c r="GZG46" s="987"/>
      <c r="GZH46" s="987"/>
      <c r="GZI46" s="987"/>
      <c r="GZJ46" s="987"/>
      <c r="GZK46" s="987"/>
      <c r="GZL46" s="987"/>
      <c r="GZM46" s="987"/>
      <c r="GZN46" s="987"/>
      <c r="GZO46" s="987"/>
      <c r="GZP46" s="987"/>
      <c r="GZQ46" s="987"/>
      <c r="GZR46" s="987"/>
      <c r="GZS46" s="987"/>
      <c r="GZT46" s="987"/>
      <c r="GZU46" s="987"/>
      <c r="GZV46" s="987"/>
      <c r="GZW46" s="987"/>
      <c r="GZX46" s="987"/>
      <c r="GZY46" s="987"/>
      <c r="GZZ46" s="987"/>
      <c r="HAA46" s="987"/>
      <c r="HAB46" s="987"/>
      <c r="HAC46" s="987"/>
      <c r="HAD46" s="987"/>
      <c r="HAE46" s="987"/>
      <c r="HAF46" s="987"/>
      <c r="HAG46" s="987"/>
      <c r="HAH46" s="987"/>
      <c r="HAI46" s="987"/>
      <c r="HAJ46" s="987"/>
      <c r="HAK46" s="987"/>
      <c r="HAL46" s="987"/>
      <c r="HAM46" s="987"/>
      <c r="HAN46" s="987"/>
      <c r="HAO46" s="987"/>
      <c r="HAP46" s="987"/>
      <c r="HAQ46" s="987"/>
      <c r="HAR46" s="987"/>
      <c r="HAS46" s="987"/>
      <c r="HAT46" s="987"/>
      <c r="HAU46" s="987"/>
      <c r="HAV46" s="987"/>
      <c r="HAW46" s="987"/>
      <c r="HAX46" s="987"/>
      <c r="HAY46" s="987"/>
      <c r="HAZ46" s="987"/>
      <c r="HBA46" s="987"/>
      <c r="HBB46" s="987"/>
      <c r="HBC46" s="987"/>
      <c r="HBD46" s="987"/>
      <c r="HBE46" s="987"/>
      <c r="HBF46" s="987"/>
      <c r="HBG46" s="987"/>
      <c r="HBH46" s="987"/>
      <c r="HBI46" s="987"/>
      <c r="HBJ46" s="987"/>
      <c r="HBK46" s="987"/>
      <c r="HBL46" s="987"/>
      <c r="HBM46" s="987"/>
      <c r="HBN46" s="987"/>
      <c r="HBO46" s="987"/>
      <c r="HBP46" s="987"/>
      <c r="HBQ46" s="987"/>
      <c r="HBR46" s="987"/>
      <c r="HBS46" s="987"/>
      <c r="HBT46" s="987"/>
      <c r="HBU46" s="987"/>
      <c r="HBV46" s="987"/>
      <c r="HBW46" s="987"/>
      <c r="HBX46" s="987"/>
      <c r="HBY46" s="987"/>
      <c r="HBZ46" s="987"/>
      <c r="HCA46" s="987"/>
      <c r="HCB46" s="987"/>
      <c r="HCC46" s="987"/>
      <c r="HCD46" s="987"/>
      <c r="HCE46" s="987"/>
      <c r="HCF46" s="987"/>
      <c r="HCG46" s="987"/>
      <c r="HCH46" s="987"/>
      <c r="HCI46" s="987"/>
      <c r="HCJ46" s="987"/>
      <c r="HCK46" s="987"/>
      <c r="HCL46" s="987"/>
      <c r="HCM46" s="987"/>
      <c r="HCN46" s="987"/>
      <c r="HCO46" s="987"/>
      <c r="HCP46" s="987"/>
      <c r="HCQ46" s="987"/>
      <c r="HCR46" s="987"/>
      <c r="HCS46" s="987"/>
      <c r="HCT46" s="987"/>
      <c r="HCU46" s="987"/>
      <c r="HCV46" s="987"/>
      <c r="HCW46" s="987"/>
      <c r="HCX46" s="987"/>
      <c r="HCY46" s="987"/>
      <c r="HCZ46" s="987"/>
      <c r="HDA46" s="987"/>
      <c r="HDB46" s="987"/>
      <c r="HDC46" s="987"/>
      <c r="HDD46" s="987"/>
      <c r="HDE46" s="987"/>
      <c r="HDF46" s="987"/>
      <c r="HDG46" s="987"/>
      <c r="HDH46" s="987"/>
      <c r="HDI46" s="987"/>
      <c r="HDJ46" s="987"/>
      <c r="HDK46" s="987"/>
      <c r="HDL46" s="987"/>
      <c r="HDM46" s="987"/>
      <c r="HDN46" s="987"/>
      <c r="HDO46" s="987"/>
      <c r="HDP46" s="987"/>
      <c r="HDQ46" s="987"/>
      <c r="HDR46" s="987"/>
      <c r="HDS46" s="987"/>
      <c r="HDT46" s="987"/>
      <c r="HDU46" s="987"/>
      <c r="HDV46" s="987"/>
      <c r="HDW46" s="987"/>
      <c r="HDX46" s="987"/>
      <c r="HDY46" s="987"/>
      <c r="HDZ46" s="987"/>
      <c r="HEA46" s="987"/>
      <c r="HEB46" s="987"/>
      <c r="HEC46" s="987"/>
      <c r="HED46" s="987"/>
      <c r="HEE46" s="987"/>
      <c r="HEF46" s="987"/>
      <c r="HEG46" s="987"/>
      <c r="HEH46" s="987"/>
      <c r="HEI46" s="987"/>
      <c r="HEJ46" s="987"/>
      <c r="HEK46" s="987"/>
      <c r="HEL46" s="987"/>
      <c r="HEM46" s="987"/>
      <c r="HEN46" s="987"/>
      <c r="HEO46" s="987"/>
      <c r="HEP46" s="987"/>
      <c r="HEQ46" s="987"/>
      <c r="HER46" s="987"/>
      <c r="HES46" s="987"/>
      <c r="HET46" s="987"/>
      <c r="HEU46" s="987"/>
      <c r="HEV46" s="987"/>
      <c r="HEW46" s="987"/>
      <c r="HEX46" s="987"/>
      <c r="HEY46" s="987"/>
      <c r="HEZ46" s="987"/>
      <c r="HFA46" s="987"/>
      <c r="HFB46" s="987"/>
      <c r="HFC46" s="987"/>
      <c r="HFD46" s="987"/>
      <c r="HFE46" s="987"/>
      <c r="HFF46" s="987"/>
      <c r="HFG46" s="987"/>
      <c r="HFH46" s="987"/>
      <c r="HFI46" s="987"/>
      <c r="HFJ46" s="987"/>
      <c r="HFK46" s="987"/>
      <c r="HFL46" s="987"/>
      <c r="HFM46" s="987"/>
      <c r="HFN46" s="987"/>
      <c r="HFO46" s="987"/>
      <c r="HFP46" s="987"/>
      <c r="HFQ46" s="987"/>
      <c r="HFR46" s="987"/>
      <c r="HFS46" s="987"/>
      <c r="HFT46" s="987"/>
      <c r="HFU46" s="987"/>
      <c r="HFV46" s="987"/>
      <c r="HFW46" s="987"/>
      <c r="HFX46" s="987"/>
      <c r="HFY46" s="987"/>
      <c r="HFZ46" s="987"/>
      <c r="HGA46" s="987"/>
      <c r="HGB46" s="987"/>
      <c r="HGC46" s="987"/>
      <c r="HGD46" s="987"/>
      <c r="HGE46" s="987"/>
      <c r="HGF46" s="987"/>
      <c r="HGG46" s="987"/>
      <c r="HGH46" s="987"/>
      <c r="HGI46" s="987"/>
      <c r="HGJ46" s="987"/>
      <c r="HGK46" s="987"/>
      <c r="HGL46" s="987"/>
      <c r="HGM46" s="987"/>
      <c r="HGN46" s="987"/>
      <c r="HGO46" s="987"/>
      <c r="HGP46" s="987"/>
      <c r="HGQ46" s="987"/>
      <c r="HGR46" s="987"/>
      <c r="HGS46" s="987"/>
      <c r="HGT46" s="987"/>
      <c r="HGU46" s="987"/>
      <c r="HGV46" s="987"/>
      <c r="HGW46" s="987"/>
      <c r="HGX46" s="987"/>
      <c r="HGY46" s="987"/>
      <c r="HGZ46" s="987"/>
      <c r="HHA46" s="987"/>
      <c r="HHB46" s="987"/>
      <c r="HHC46" s="987"/>
      <c r="HHD46" s="987"/>
      <c r="HHE46" s="987"/>
      <c r="HHF46" s="987"/>
      <c r="HHG46" s="987"/>
      <c r="HHH46" s="987"/>
      <c r="HHI46" s="987"/>
      <c r="HHJ46" s="987"/>
      <c r="HHK46" s="987"/>
      <c r="HHL46" s="987"/>
      <c r="HHM46" s="987"/>
      <c r="HHN46" s="987"/>
      <c r="HHO46" s="987"/>
      <c r="HHP46" s="987"/>
      <c r="HHQ46" s="987"/>
      <c r="HHR46" s="987"/>
      <c r="HHS46" s="987"/>
      <c r="HHT46" s="987"/>
      <c r="HHU46" s="987"/>
      <c r="HHV46" s="987"/>
      <c r="HHW46" s="987"/>
      <c r="HHX46" s="987"/>
      <c r="HHY46" s="987"/>
      <c r="HHZ46" s="987"/>
      <c r="HIA46" s="987"/>
      <c r="HIB46" s="987"/>
      <c r="HIC46" s="987"/>
      <c r="HID46" s="987"/>
      <c r="HIE46" s="987"/>
      <c r="HIF46" s="987"/>
      <c r="HIG46" s="987"/>
      <c r="HIH46" s="987"/>
      <c r="HII46" s="987"/>
      <c r="HIJ46" s="987"/>
      <c r="HIK46" s="987"/>
      <c r="HIL46" s="987"/>
      <c r="HIM46" s="987"/>
      <c r="HIN46" s="987"/>
      <c r="HIO46" s="987"/>
      <c r="HIP46" s="987"/>
      <c r="HIQ46" s="987"/>
      <c r="HIR46" s="987"/>
      <c r="HIS46" s="987"/>
      <c r="HIT46" s="987"/>
      <c r="HIU46" s="987"/>
      <c r="HIV46" s="987"/>
      <c r="HIW46" s="987"/>
      <c r="HIX46" s="987"/>
      <c r="HIY46" s="987"/>
      <c r="HIZ46" s="987"/>
      <c r="HJA46" s="987"/>
      <c r="HJB46" s="987"/>
      <c r="HJC46" s="987"/>
      <c r="HJD46" s="987"/>
      <c r="HJE46" s="987"/>
      <c r="HJF46" s="987"/>
      <c r="HJG46" s="987"/>
      <c r="HJH46" s="987"/>
      <c r="HJI46" s="987"/>
      <c r="HJJ46" s="987"/>
      <c r="HJK46" s="987"/>
      <c r="HJL46" s="987"/>
      <c r="HJM46" s="987"/>
      <c r="HJN46" s="987"/>
      <c r="HJO46" s="987"/>
      <c r="HJP46" s="987"/>
      <c r="HJQ46" s="987"/>
      <c r="HJR46" s="987"/>
      <c r="HJS46" s="987"/>
      <c r="HJT46" s="987"/>
      <c r="HJU46" s="987"/>
      <c r="HJV46" s="987"/>
      <c r="HJW46" s="987"/>
      <c r="HJX46" s="987"/>
      <c r="HJY46" s="987"/>
      <c r="HJZ46" s="987"/>
      <c r="HKA46" s="987"/>
      <c r="HKB46" s="987"/>
      <c r="HKC46" s="987"/>
      <c r="HKD46" s="987"/>
      <c r="HKE46" s="987"/>
      <c r="HKF46" s="987"/>
      <c r="HKG46" s="987"/>
      <c r="HKH46" s="987"/>
      <c r="HKI46" s="987"/>
      <c r="HKJ46" s="987"/>
      <c r="HKK46" s="987"/>
      <c r="HKL46" s="987"/>
      <c r="HKM46" s="987"/>
      <c r="HKN46" s="987"/>
      <c r="HKO46" s="987"/>
      <c r="HKP46" s="987"/>
      <c r="HKQ46" s="987"/>
      <c r="HKR46" s="987"/>
      <c r="HKS46" s="987"/>
      <c r="HKT46" s="987"/>
      <c r="HKU46" s="987"/>
      <c r="HKV46" s="987"/>
      <c r="HKW46" s="987"/>
      <c r="HKX46" s="987"/>
      <c r="HKY46" s="987"/>
      <c r="HKZ46" s="987"/>
      <c r="HLA46" s="987"/>
      <c r="HLB46" s="987"/>
      <c r="HLC46" s="987"/>
      <c r="HLD46" s="987"/>
      <c r="HLE46" s="987"/>
      <c r="HLF46" s="987"/>
      <c r="HLG46" s="987"/>
      <c r="HLH46" s="987"/>
      <c r="HLI46" s="987"/>
      <c r="HLJ46" s="987"/>
      <c r="HLK46" s="987"/>
      <c r="HLL46" s="987"/>
      <c r="HLM46" s="987"/>
      <c r="HLN46" s="987"/>
      <c r="HLO46" s="987"/>
      <c r="HLP46" s="987"/>
      <c r="HLQ46" s="987"/>
      <c r="HLR46" s="987"/>
      <c r="HLS46" s="987"/>
      <c r="HLT46" s="987"/>
      <c r="HLU46" s="987"/>
      <c r="HLV46" s="987"/>
      <c r="HLW46" s="987"/>
      <c r="HLX46" s="987"/>
      <c r="HLY46" s="987"/>
      <c r="HLZ46" s="987"/>
      <c r="HMA46" s="987"/>
      <c r="HMB46" s="987"/>
      <c r="HMC46" s="987"/>
      <c r="HMD46" s="987"/>
      <c r="HME46" s="987"/>
      <c r="HMF46" s="987"/>
      <c r="HMG46" s="987"/>
      <c r="HMH46" s="987"/>
      <c r="HMI46" s="987"/>
      <c r="HMJ46" s="987"/>
      <c r="HMK46" s="987"/>
      <c r="HML46" s="987"/>
      <c r="HMM46" s="987"/>
      <c r="HMN46" s="987"/>
      <c r="HMO46" s="987"/>
      <c r="HMP46" s="987"/>
      <c r="HMQ46" s="987"/>
      <c r="HMR46" s="987"/>
      <c r="HMS46" s="987"/>
      <c r="HMT46" s="987"/>
      <c r="HMU46" s="987"/>
      <c r="HMV46" s="987"/>
      <c r="HMW46" s="987"/>
      <c r="HMX46" s="987"/>
      <c r="HMY46" s="987"/>
      <c r="HMZ46" s="987"/>
      <c r="HNA46" s="987"/>
      <c r="HNB46" s="987"/>
      <c r="HNC46" s="987"/>
      <c r="HND46" s="987"/>
      <c r="HNE46" s="987"/>
      <c r="HNF46" s="987"/>
      <c r="HNG46" s="987"/>
      <c r="HNH46" s="987"/>
      <c r="HNI46" s="987"/>
      <c r="HNJ46" s="987"/>
      <c r="HNK46" s="987"/>
      <c r="HNL46" s="987"/>
      <c r="HNM46" s="987"/>
      <c r="HNN46" s="987"/>
      <c r="HNO46" s="987"/>
      <c r="HNP46" s="987"/>
      <c r="HNQ46" s="987"/>
      <c r="HNR46" s="987"/>
      <c r="HNS46" s="987"/>
      <c r="HNT46" s="987"/>
      <c r="HNU46" s="987"/>
      <c r="HNV46" s="987"/>
      <c r="HNW46" s="987"/>
      <c r="HNX46" s="987"/>
      <c r="HNY46" s="987"/>
      <c r="HNZ46" s="987"/>
      <c r="HOA46" s="987"/>
      <c r="HOB46" s="987"/>
      <c r="HOC46" s="987"/>
      <c r="HOD46" s="987"/>
      <c r="HOE46" s="987"/>
      <c r="HOF46" s="987"/>
      <c r="HOG46" s="987"/>
      <c r="HOH46" s="987"/>
      <c r="HOI46" s="987"/>
      <c r="HOJ46" s="987"/>
      <c r="HOK46" s="987"/>
      <c r="HOL46" s="987"/>
      <c r="HOM46" s="987"/>
      <c r="HON46" s="987"/>
      <c r="HOO46" s="987"/>
      <c r="HOP46" s="987"/>
      <c r="HOQ46" s="987"/>
      <c r="HOR46" s="987"/>
      <c r="HOS46" s="987"/>
      <c r="HOT46" s="987"/>
      <c r="HOU46" s="987"/>
      <c r="HOV46" s="987"/>
      <c r="HOW46" s="987"/>
      <c r="HOX46" s="987"/>
      <c r="HOY46" s="987"/>
      <c r="HOZ46" s="987"/>
      <c r="HPA46" s="987"/>
      <c r="HPB46" s="987"/>
      <c r="HPC46" s="987"/>
      <c r="HPD46" s="987"/>
      <c r="HPE46" s="987"/>
      <c r="HPF46" s="987"/>
      <c r="HPG46" s="987"/>
      <c r="HPH46" s="987"/>
      <c r="HPI46" s="987"/>
      <c r="HPJ46" s="987"/>
      <c r="HPK46" s="987"/>
      <c r="HPL46" s="987"/>
      <c r="HPM46" s="987"/>
      <c r="HPN46" s="987"/>
      <c r="HPO46" s="987"/>
      <c r="HPP46" s="987"/>
      <c r="HPQ46" s="987"/>
      <c r="HPR46" s="987"/>
      <c r="HPS46" s="987"/>
      <c r="HPT46" s="987"/>
      <c r="HPU46" s="987"/>
      <c r="HPV46" s="987"/>
      <c r="HPW46" s="987"/>
      <c r="HPX46" s="987"/>
      <c r="HPY46" s="987"/>
      <c r="HPZ46" s="987"/>
      <c r="HQA46" s="987"/>
      <c r="HQB46" s="987"/>
      <c r="HQC46" s="987"/>
      <c r="HQD46" s="987"/>
      <c r="HQE46" s="987"/>
      <c r="HQF46" s="987"/>
      <c r="HQG46" s="987"/>
      <c r="HQH46" s="987"/>
      <c r="HQI46" s="987"/>
      <c r="HQJ46" s="987"/>
      <c r="HQK46" s="987"/>
      <c r="HQL46" s="987"/>
      <c r="HQM46" s="987"/>
      <c r="HQN46" s="987"/>
      <c r="HQO46" s="987"/>
      <c r="HQP46" s="987"/>
      <c r="HQQ46" s="987"/>
      <c r="HQR46" s="987"/>
      <c r="HQS46" s="987"/>
      <c r="HQT46" s="987"/>
      <c r="HQU46" s="987"/>
      <c r="HQV46" s="987"/>
      <c r="HQW46" s="987"/>
      <c r="HQX46" s="987"/>
      <c r="HQY46" s="987"/>
      <c r="HQZ46" s="987"/>
      <c r="HRA46" s="987"/>
      <c r="HRB46" s="987"/>
      <c r="HRC46" s="987"/>
      <c r="HRD46" s="987"/>
      <c r="HRE46" s="987"/>
      <c r="HRF46" s="987"/>
      <c r="HRG46" s="987"/>
      <c r="HRH46" s="987"/>
      <c r="HRI46" s="987"/>
      <c r="HRJ46" s="987"/>
      <c r="HRK46" s="987"/>
      <c r="HRL46" s="987"/>
      <c r="HRM46" s="987"/>
      <c r="HRN46" s="987"/>
      <c r="HRO46" s="987"/>
      <c r="HRP46" s="987"/>
      <c r="HRQ46" s="987"/>
      <c r="HRR46" s="987"/>
      <c r="HRS46" s="987"/>
      <c r="HRT46" s="987"/>
      <c r="HRU46" s="987"/>
      <c r="HRV46" s="987"/>
      <c r="HRW46" s="987"/>
      <c r="HRX46" s="987"/>
      <c r="HRY46" s="987"/>
      <c r="HRZ46" s="987"/>
      <c r="HSA46" s="987"/>
      <c r="HSB46" s="987"/>
      <c r="HSC46" s="987"/>
      <c r="HSD46" s="987"/>
      <c r="HSE46" s="987"/>
      <c r="HSF46" s="987"/>
      <c r="HSG46" s="987"/>
      <c r="HSH46" s="987"/>
      <c r="HSI46" s="987"/>
      <c r="HSJ46" s="987"/>
      <c r="HSK46" s="987"/>
      <c r="HSL46" s="987"/>
      <c r="HSM46" s="987"/>
      <c r="HSN46" s="987"/>
      <c r="HSO46" s="987"/>
      <c r="HSP46" s="987"/>
      <c r="HSQ46" s="987"/>
      <c r="HSR46" s="987"/>
      <c r="HSS46" s="987"/>
      <c r="HST46" s="987"/>
      <c r="HSU46" s="987"/>
      <c r="HSV46" s="987"/>
      <c r="HSW46" s="987"/>
      <c r="HSX46" s="987"/>
      <c r="HSY46" s="987"/>
      <c r="HSZ46" s="987"/>
      <c r="HTA46" s="987"/>
      <c r="HTB46" s="987"/>
      <c r="HTC46" s="987"/>
      <c r="HTD46" s="987"/>
      <c r="HTE46" s="987"/>
      <c r="HTF46" s="987"/>
      <c r="HTG46" s="987"/>
      <c r="HTH46" s="987"/>
      <c r="HTI46" s="987"/>
      <c r="HTJ46" s="987"/>
      <c r="HTK46" s="987"/>
      <c r="HTL46" s="987"/>
      <c r="HTM46" s="987"/>
      <c r="HTN46" s="987"/>
      <c r="HTO46" s="987"/>
      <c r="HTP46" s="987"/>
      <c r="HTQ46" s="987"/>
      <c r="HTR46" s="987"/>
      <c r="HTS46" s="987"/>
      <c r="HTT46" s="987"/>
      <c r="HTU46" s="987"/>
      <c r="HTV46" s="987"/>
      <c r="HTW46" s="987"/>
      <c r="HTX46" s="987"/>
      <c r="HTY46" s="987"/>
      <c r="HTZ46" s="987"/>
      <c r="HUA46" s="987"/>
      <c r="HUB46" s="987"/>
      <c r="HUC46" s="987"/>
      <c r="HUD46" s="987"/>
      <c r="HUE46" s="987"/>
      <c r="HUF46" s="987"/>
      <c r="HUG46" s="987"/>
      <c r="HUH46" s="987"/>
      <c r="HUI46" s="987"/>
      <c r="HUJ46" s="987"/>
      <c r="HUK46" s="987"/>
      <c r="HUL46" s="987"/>
      <c r="HUM46" s="987"/>
      <c r="HUN46" s="987"/>
      <c r="HUO46" s="987"/>
      <c r="HUP46" s="987"/>
      <c r="HUQ46" s="987"/>
      <c r="HUR46" s="987"/>
      <c r="HUS46" s="987"/>
      <c r="HUT46" s="987"/>
      <c r="HUU46" s="987"/>
      <c r="HUV46" s="987"/>
      <c r="HUW46" s="987"/>
      <c r="HUX46" s="987"/>
      <c r="HUY46" s="987"/>
      <c r="HUZ46" s="987"/>
      <c r="HVA46" s="987"/>
      <c r="HVB46" s="987"/>
      <c r="HVC46" s="987"/>
      <c r="HVD46" s="987"/>
      <c r="HVE46" s="987"/>
      <c r="HVF46" s="987"/>
      <c r="HVG46" s="987"/>
      <c r="HVH46" s="987"/>
      <c r="HVI46" s="987"/>
      <c r="HVJ46" s="987"/>
      <c r="HVK46" s="987"/>
      <c r="HVL46" s="987"/>
      <c r="HVM46" s="987"/>
      <c r="HVN46" s="987"/>
      <c r="HVO46" s="987"/>
      <c r="HVP46" s="987"/>
      <c r="HVQ46" s="987"/>
      <c r="HVR46" s="987"/>
      <c r="HVS46" s="987"/>
      <c r="HVT46" s="987"/>
      <c r="HVU46" s="987"/>
      <c r="HVV46" s="987"/>
      <c r="HVW46" s="987"/>
      <c r="HVX46" s="987"/>
      <c r="HVY46" s="987"/>
      <c r="HVZ46" s="987"/>
      <c r="HWA46" s="987"/>
      <c r="HWB46" s="987"/>
      <c r="HWC46" s="987"/>
      <c r="HWD46" s="987"/>
      <c r="HWE46" s="987"/>
      <c r="HWF46" s="987"/>
      <c r="HWG46" s="987"/>
      <c r="HWH46" s="987"/>
      <c r="HWI46" s="987"/>
      <c r="HWJ46" s="987"/>
      <c r="HWK46" s="987"/>
      <c r="HWL46" s="987"/>
      <c r="HWM46" s="987"/>
      <c r="HWN46" s="987"/>
      <c r="HWO46" s="987"/>
      <c r="HWP46" s="987"/>
      <c r="HWQ46" s="987"/>
      <c r="HWR46" s="987"/>
      <c r="HWS46" s="987"/>
      <c r="HWT46" s="987"/>
      <c r="HWU46" s="987"/>
      <c r="HWV46" s="987"/>
      <c r="HWW46" s="987"/>
      <c r="HWX46" s="987"/>
      <c r="HWY46" s="987"/>
      <c r="HWZ46" s="987"/>
      <c r="HXA46" s="987"/>
      <c r="HXB46" s="987"/>
      <c r="HXC46" s="987"/>
      <c r="HXD46" s="987"/>
      <c r="HXE46" s="987"/>
      <c r="HXF46" s="987"/>
      <c r="HXG46" s="987"/>
      <c r="HXH46" s="987"/>
      <c r="HXI46" s="987"/>
      <c r="HXJ46" s="987"/>
      <c r="HXK46" s="987"/>
      <c r="HXL46" s="987"/>
      <c r="HXM46" s="987"/>
      <c r="HXN46" s="987"/>
      <c r="HXO46" s="987"/>
      <c r="HXP46" s="987"/>
      <c r="HXQ46" s="987"/>
      <c r="HXR46" s="987"/>
      <c r="HXS46" s="987"/>
      <c r="HXT46" s="987"/>
      <c r="HXU46" s="987"/>
      <c r="HXV46" s="987"/>
      <c r="HXW46" s="987"/>
      <c r="HXX46" s="987"/>
      <c r="HXY46" s="987"/>
      <c r="HXZ46" s="987"/>
      <c r="HYA46" s="987"/>
      <c r="HYB46" s="987"/>
      <c r="HYC46" s="987"/>
      <c r="HYD46" s="987"/>
      <c r="HYE46" s="987"/>
      <c r="HYF46" s="987"/>
      <c r="HYG46" s="987"/>
      <c r="HYH46" s="987"/>
      <c r="HYI46" s="987"/>
      <c r="HYJ46" s="987"/>
      <c r="HYK46" s="987"/>
      <c r="HYL46" s="987"/>
      <c r="HYM46" s="987"/>
      <c r="HYN46" s="987"/>
      <c r="HYO46" s="987"/>
      <c r="HYP46" s="987"/>
      <c r="HYQ46" s="987"/>
      <c r="HYR46" s="987"/>
      <c r="HYS46" s="987"/>
      <c r="HYT46" s="987"/>
      <c r="HYU46" s="987"/>
      <c r="HYV46" s="987"/>
      <c r="HYW46" s="987"/>
      <c r="HYX46" s="987"/>
      <c r="HYY46" s="987"/>
      <c r="HYZ46" s="987"/>
      <c r="HZA46" s="987"/>
      <c r="HZB46" s="987"/>
      <c r="HZC46" s="987"/>
      <c r="HZD46" s="987"/>
      <c r="HZE46" s="987"/>
      <c r="HZF46" s="987"/>
      <c r="HZG46" s="987"/>
      <c r="HZH46" s="987"/>
      <c r="HZI46" s="987"/>
      <c r="HZJ46" s="987"/>
      <c r="HZK46" s="987"/>
      <c r="HZL46" s="987"/>
      <c r="HZM46" s="987"/>
      <c r="HZN46" s="987"/>
      <c r="HZO46" s="987"/>
      <c r="HZP46" s="987"/>
      <c r="HZQ46" s="987"/>
      <c r="HZR46" s="987"/>
      <c r="HZS46" s="987"/>
      <c r="HZT46" s="987"/>
      <c r="HZU46" s="987"/>
      <c r="HZV46" s="987"/>
      <c r="HZW46" s="987"/>
      <c r="HZX46" s="987"/>
      <c r="HZY46" s="987"/>
      <c r="HZZ46" s="987"/>
      <c r="IAA46" s="987"/>
      <c r="IAB46" s="987"/>
      <c r="IAC46" s="987"/>
      <c r="IAD46" s="987"/>
      <c r="IAE46" s="987"/>
      <c r="IAF46" s="987"/>
      <c r="IAG46" s="987"/>
      <c r="IAH46" s="987"/>
      <c r="IAI46" s="987"/>
      <c r="IAJ46" s="987"/>
      <c r="IAK46" s="987"/>
      <c r="IAL46" s="987"/>
      <c r="IAM46" s="987"/>
      <c r="IAN46" s="987"/>
      <c r="IAO46" s="987"/>
      <c r="IAP46" s="987"/>
      <c r="IAQ46" s="987"/>
      <c r="IAR46" s="987"/>
      <c r="IAS46" s="987"/>
      <c r="IAT46" s="987"/>
      <c r="IAU46" s="987"/>
      <c r="IAV46" s="987"/>
      <c r="IAW46" s="987"/>
      <c r="IAX46" s="987"/>
      <c r="IAY46" s="987"/>
      <c r="IAZ46" s="987"/>
      <c r="IBA46" s="987"/>
      <c r="IBB46" s="987"/>
      <c r="IBC46" s="987"/>
      <c r="IBD46" s="987"/>
      <c r="IBE46" s="987"/>
      <c r="IBF46" s="987"/>
      <c r="IBG46" s="987"/>
      <c r="IBH46" s="987"/>
      <c r="IBI46" s="987"/>
      <c r="IBJ46" s="987"/>
      <c r="IBK46" s="987"/>
      <c r="IBL46" s="987"/>
      <c r="IBM46" s="987"/>
      <c r="IBN46" s="987"/>
      <c r="IBO46" s="987"/>
      <c r="IBP46" s="987"/>
      <c r="IBQ46" s="987"/>
      <c r="IBR46" s="987"/>
      <c r="IBS46" s="987"/>
      <c r="IBT46" s="987"/>
      <c r="IBU46" s="987"/>
      <c r="IBV46" s="987"/>
      <c r="IBW46" s="987"/>
      <c r="IBX46" s="987"/>
      <c r="IBY46" s="987"/>
      <c r="IBZ46" s="987"/>
      <c r="ICA46" s="987"/>
      <c r="ICB46" s="987"/>
      <c r="ICC46" s="987"/>
      <c r="ICD46" s="987"/>
      <c r="ICE46" s="987"/>
      <c r="ICF46" s="987"/>
      <c r="ICG46" s="987"/>
      <c r="ICH46" s="987"/>
      <c r="ICI46" s="987"/>
      <c r="ICJ46" s="987"/>
      <c r="ICK46" s="987"/>
      <c r="ICL46" s="987"/>
      <c r="ICM46" s="987"/>
      <c r="ICN46" s="987"/>
      <c r="ICO46" s="987"/>
      <c r="ICP46" s="987"/>
      <c r="ICQ46" s="987"/>
      <c r="ICR46" s="987"/>
      <c r="ICS46" s="987"/>
      <c r="ICT46" s="987"/>
      <c r="ICU46" s="987"/>
      <c r="ICV46" s="987"/>
      <c r="ICW46" s="987"/>
      <c r="ICX46" s="987"/>
      <c r="ICY46" s="987"/>
      <c r="ICZ46" s="987"/>
      <c r="IDA46" s="987"/>
      <c r="IDB46" s="987"/>
      <c r="IDC46" s="987"/>
      <c r="IDD46" s="987"/>
      <c r="IDE46" s="987"/>
      <c r="IDF46" s="987"/>
      <c r="IDG46" s="987"/>
      <c r="IDH46" s="987"/>
      <c r="IDI46" s="987"/>
      <c r="IDJ46" s="987"/>
      <c r="IDK46" s="987"/>
      <c r="IDL46" s="987"/>
      <c r="IDM46" s="987"/>
      <c r="IDN46" s="987"/>
      <c r="IDO46" s="987"/>
      <c r="IDP46" s="987"/>
      <c r="IDQ46" s="987"/>
      <c r="IDR46" s="987"/>
      <c r="IDS46" s="987"/>
      <c r="IDT46" s="987"/>
      <c r="IDU46" s="987"/>
      <c r="IDV46" s="987"/>
      <c r="IDW46" s="987"/>
      <c r="IDX46" s="987"/>
      <c r="IDY46" s="987"/>
      <c r="IDZ46" s="987"/>
      <c r="IEA46" s="987"/>
      <c r="IEB46" s="987"/>
      <c r="IEC46" s="987"/>
      <c r="IED46" s="987"/>
      <c r="IEE46" s="987"/>
      <c r="IEF46" s="987"/>
      <c r="IEG46" s="987"/>
      <c r="IEH46" s="987"/>
      <c r="IEI46" s="987"/>
      <c r="IEJ46" s="987"/>
      <c r="IEK46" s="987"/>
      <c r="IEL46" s="987"/>
      <c r="IEM46" s="987"/>
      <c r="IEN46" s="987"/>
      <c r="IEO46" s="987"/>
      <c r="IEP46" s="987"/>
      <c r="IEQ46" s="987"/>
      <c r="IER46" s="987"/>
      <c r="IES46" s="987"/>
      <c r="IET46" s="987"/>
      <c r="IEU46" s="987"/>
      <c r="IEV46" s="987"/>
      <c r="IEW46" s="987"/>
      <c r="IEX46" s="987"/>
      <c r="IEY46" s="987"/>
      <c r="IEZ46" s="987"/>
      <c r="IFA46" s="987"/>
      <c r="IFB46" s="987"/>
      <c r="IFC46" s="987"/>
      <c r="IFD46" s="987"/>
      <c r="IFE46" s="987"/>
      <c r="IFF46" s="987"/>
      <c r="IFG46" s="987"/>
      <c r="IFH46" s="987"/>
      <c r="IFI46" s="987"/>
      <c r="IFJ46" s="987"/>
      <c r="IFK46" s="987"/>
      <c r="IFL46" s="987"/>
      <c r="IFM46" s="987"/>
      <c r="IFN46" s="987"/>
      <c r="IFO46" s="987"/>
      <c r="IFP46" s="987"/>
      <c r="IFQ46" s="987"/>
      <c r="IFR46" s="987"/>
      <c r="IFS46" s="987"/>
      <c r="IFT46" s="987"/>
      <c r="IFU46" s="987"/>
      <c r="IFV46" s="987"/>
      <c r="IFW46" s="987"/>
      <c r="IFX46" s="987"/>
      <c r="IFY46" s="987"/>
      <c r="IFZ46" s="987"/>
      <c r="IGA46" s="987"/>
      <c r="IGB46" s="987"/>
      <c r="IGC46" s="987"/>
      <c r="IGD46" s="987"/>
      <c r="IGE46" s="987"/>
      <c r="IGF46" s="987"/>
      <c r="IGG46" s="987"/>
      <c r="IGH46" s="987"/>
      <c r="IGI46" s="987"/>
      <c r="IGJ46" s="987"/>
      <c r="IGK46" s="987"/>
      <c r="IGL46" s="987"/>
      <c r="IGM46" s="987"/>
      <c r="IGN46" s="987"/>
      <c r="IGO46" s="987"/>
      <c r="IGP46" s="987"/>
      <c r="IGQ46" s="987"/>
      <c r="IGR46" s="987"/>
      <c r="IGS46" s="987"/>
      <c r="IGT46" s="987"/>
      <c r="IGU46" s="987"/>
      <c r="IGV46" s="987"/>
      <c r="IGW46" s="987"/>
      <c r="IGX46" s="987"/>
      <c r="IGY46" s="987"/>
      <c r="IGZ46" s="987"/>
      <c r="IHA46" s="987"/>
      <c r="IHB46" s="987"/>
      <c r="IHC46" s="987"/>
      <c r="IHD46" s="987"/>
      <c r="IHE46" s="987"/>
      <c r="IHF46" s="987"/>
      <c r="IHG46" s="987"/>
      <c r="IHH46" s="987"/>
      <c r="IHI46" s="987"/>
      <c r="IHJ46" s="987"/>
      <c r="IHK46" s="987"/>
      <c r="IHL46" s="987"/>
      <c r="IHM46" s="987"/>
      <c r="IHN46" s="987"/>
      <c r="IHO46" s="987"/>
      <c r="IHP46" s="987"/>
      <c r="IHQ46" s="987"/>
      <c r="IHR46" s="987"/>
      <c r="IHS46" s="987"/>
      <c r="IHT46" s="987"/>
      <c r="IHU46" s="987"/>
      <c r="IHV46" s="987"/>
      <c r="IHW46" s="987"/>
      <c r="IHX46" s="987"/>
      <c r="IHY46" s="987"/>
      <c r="IHZ46" s="987"/>
      <c r="IIA46" s="987"/>
      <c r="IIB46" s="987"/>
      <c r="IIC46" s="987"/>
      <c r="IID46" s="987"/>
      <c r="IIE46" s="987"/>
      <c r="IIF46" s="987"/>
      <c r="IIG46" s="987"/>
      <c r="IIH46" s="987"/>
      <c r="III46" s="987"/>
      <c r="IIJ46" s="987"/>
      <c r="IIK46" s="987"/>
      <c r="IIL46" s="987"/>
      <c r="IIM46" s="987"/>
      <c r="IIN46" s="987"/>
      <c r="IIO46" s="987"/>
      <c r="IIP46" s="987"/>
      <c r="IIQ46" s="987"/>
      <c r="IIR46" s="987"/>
      <c r="IIS46" s="987"/>
      <c r="IIT46" s="987"/>
      <c r="IIU46" s="987"/>
      <c r="IIV46" s="987"/>
      <c r="IIW46" s="987"/>
      <c r="IIX46" s="987"/>
      <c r="IIY46" s="987"/>
      <c r="IIZ46" s="987"/>
      <c r="IJA46" s="987"/>
      <c r="IJB46" s="987"/>
      <c r="IJC46" s="987"/>
      <c r="IJD46" s="987"/>
      <c r="IJE46" s="987"/>
      <c r="IJF46" s="987"/>
      <c r="IJG46" s="987"/>
      <c r="IJH46" s="987"/>
      <c r="IJI46" s="987"/>
      <c r="IJJ46" s="987"/>
      <c r="IJK46" s="987"/>
      <c r="IJL46" s="987"/>
      <c r="IJM46" s="987"/>
      <c r="IJN46" s="987"/>
      <c r="IJO46" s="987"/>
      <c r="IJP46" s="987"/>
      <c r="IJQ46" s="987"/>
      <c r="IJR46" s="987"/>
      <c r="IJS46" s="987"/>
      <c r="IJT46" s="987"/>
      <c r="IJU46" s="987"/>
      <c r="IJV46" s="987"/>
      <c r="IJW46" s="987"/>
      <c r="IJX46" s="987"/>
      <c r="IJY46" s="987"/>
      <c r="IJZ46" s="987"/>
      <c r="IKA46" s="987"/>
      <c r="IKB46" s="987"/>
      <c r="IKC46" s="987"/>
      <c r="IKD46" s="987"/>
      <c r="IKE46" s="987"/>
      <c r="IKF46" s="987"/>
      <c r="IKG46" s="987"/>
      <c r="IKH46" s="987"/>
      <c r="IKI46" s="987"/>
      <c r="IKJ46" s="987"/>
      <c r="IKK46" s="987"/>
      <c r="IKL46" s="987"/>
      <c r="IKM46" s="987"/>
      <c r="IKN46" s="987"/>
      <c r="IKO46" s="987"/>
      <c r="IKP46" s="987"/>
      <c r="IKQ46" s="987"/>
      <c r="IKR46" s="987"/>
      <c r="IKS46" s="987"/>
      <c r="IKT46" s="987"/>
      <c r="IKU46" s="987"/>
      <c r="IKV46" s="987"/>
      <c r="IKW46" s="987"/>
      <c r="IKX46" s="987"/>
      <c r="IKY46" s="987"/>
      <c r="IKZ46" s="987"/>
      <c r="ILA46" s="987"/>
      <c r="ILB46" s="987"/>
      <c r="ILC46" s="987"/>
      <c r="ILD46" s="987"/>
      <c r="ILE46" s="987"/>
      <c r="ILF46" s="987"/>
      <c r="ILG46" s="987"/>
      <c r="ILH46" s="987"/>
      <c r="ILI46" s="987"/>
      <c r="ILJ46" s="987"/>
      <c r="ILK46" s="987"/>
      <c r="ILL46" s="987"/>
      <c r="ILM46" s="987"/>
      <c r="ILN46" s="987"/>
      <c r="ILO46" s="987"/>
      <c r="ILP46" s="987"/>
      <c r="ILQ46" s="987"/>
      <c r="ILR46" s="987"/>
      <c r="ILS46" s="987"/>
      <c r="ILT46" s="987"/>
      <c r="ILU46" s="987"/>
      <c r="ILV46" s="987"/>
      <c r="ILW46" s="987"/>
      <c r="ILX46" s="987"/>
      <c r="ILY46" s="987"/>
      <c r="ILZ46" s="987"/>
      <c r="IMA46" s="987"/>
      <c r="IMB46" s="987"/>
      <c r="IMC46" s="987"/>
      <c r="IMD46" s="987"/>
      <c r="IME46" s="987"/>
      <c r="IMF46" s="987"/>
      <c r="IMG46" s="987"/>
      <c r="IMH46" s="987"/>
      <c r="IMI46" s="987"/>
      <c r="IMJ46" s="987"/>
      <c r="IMK46" s="987"/>
      <c r="IML46" s="987"/>
      <c r="IMM46" s="987"/>
      <c r="IMN46" s="987"/>
      <c r="IMO46" s="987"/>
      <c r="IMP46" s="987"/>
      <c r="IMQ46" s="987"/>
      <c r="IMR46" s="987"/>
      <c r="IMS46" s="987"/>
      <c r="IMT46" s="987"/>
      <c r="IMU46" s="987"/>
      <c r="IMV46" s="987"/>
      <c r="IMW46" s="987"/>
      <c r="IMX46" s="987"/>
      <c r="IMY46" s="987"/>
      <c r="IMZ46" s="987"/>
      <c r="INA46" s="987"/>
      <c r="INB46" s="987"/>
      <c r="INC46" s="987"/>
      <c r="IND46" s="987"/>
      <c r="INE46" s="987"/>
      <c r="INF46" s="987"/>
      <c r="ING46" s="987"/>
      <c r="INH46" s="987"/>
      <c r="INI46" s="987"/>
      <c r="INJ46" s="987"/>
      <c r="INK46" s="987"/>
      <c r="INL46" s="987"/>
      <c r="INM46" s="987"/>
      <c r="INN46" s="987"/>
      <c r="INO46" s="987"/>
      <c r="INP46" s="987"/>
      <c r="INQ46" s="987"/>
      <c r="INR46" s="987"/>
      <c r="INS46" s="987"/>
      <c r="INT46" s="987"/>
      <c r="INU46" s="987"/>
      <c r="INV46" s="987"/>
      <c r="INW46" s="987"/>
      <c r="INX46" s="987"/>
      <c r="INY46" s="987"/>
      <c r="INZ46" s="987"/>
      <c r="IOA46" s="987"/>
      <c r="IOB46" s="987"/>
      <c r="IOC46" s="987"/>
      <c r="IOD46" s="987"/>
      <c r="IOE46" s="987"/>
      <c r="IOF46" s="987"/>
      <c r="IOG46" s="987"/>
      <c r="IOH46" s="987"/>
      <c r="IOI46" s="987"/>
      <c r="IOJ46" s="987"/>
      <c r="IOK46" s="987"/>
      <c r="IOL46" s="987"/>
      <c r="IOM46" s="987"/>
      <c r="ION46" s="987"/>
      <c r="IOO46" s="987"/>
      <c r="IOP46" s="987"/>
      <c r="IOQ46" s="987"/>
      <c r="IOR46" s="987"/>
      <c r="IOS46" s="987"/>
      <c r="IOT46" s="987"/>
      <c r="IOU46" s="987"/>
      <c r="IOV46" s="987"/>
      <c r="IOW46" s="987"/>
      <c r="IOX46" s="987"/>
      <c r="IOY46" s="987"/>
      <c r="IOZ46" s="987"/>
      <c r="IPA46" s="987"/>
      <c r="IPB46" s="987"/>
      <c r="IPC46" s="987"/>
      <c r="IPD46" s="987"/>
      <c r="IPE46" s="987"/>
      <c r="IPF46" s="987"/>
      <c r="IPG46" s="987"/>
      <c r="IPH46" s="987"/>
      <c r="IPI46" s="987"/>
      <c r="IPJ46" s="987"/>
      <c r="IPK46" s="987"/>
      <c r="IPL46" s="987"/>
      <c r="IPM46" s="987"/>
      <c r="IPN46" s="987"/>
      <c r="IPO46" s="987"/>
      <c r="IPP46" s="987"/>
      <c r="IPQ46" s="987"/>
      <c r="IPR46" s="987"/>
      <c r="IPS46" s="987"/>
      <c r="IPT46" s="987"/>
      <c r="IPU46" s="987"/>
      <c r="IPV46" s="987"/>
      <c r="IPW46" s="987"/>
      <c r="IPX46" s="987"/>
      <c r="IPY46" s="987"/>
      <c r="IPZ46" s="987"/>
      <c r="IQA46" s="987"/>
      <c r="IQB46" s="987"/>
      <c r="IQC46" s="987"/>
      <c r="IQD46" s="987"/>
      <c r="IQE46" s="987"/>
      <c r="IQF46" s="987"/>
      <c r="IQG46" s="987"/>
      <c r="IQH46" s="987"/>
      <c r="IQI46" s="987"/>
      <c r="IQJ46" s="987"/>
      <c r="IQK46" s="987"/>
      <c r="IQL46" s="987"/>
      <c r="IQM46" s="987"/>
      <c r="IQN46" s="987"/>
      <c r="IQO46" s="987"/>
      <c r="IQP46" s="987"/>
      <c r="IQQ46" s="987"/>
      <c r="IQR46" s="987"/>
      <c r="IQS46" s="987"/>
      <c r="IQT46" s="987"/>
      <c r="IQU46" s="987"/>
      <c r="IQV46" s="987"/>
      <c r="IQW46" s="987"/>
      <c r="IQX46" s="987"/>
      <c r="IQY46" s="987"/>
      <c r="IQZ46" s="987"/>
      <c r="IRA46" s="987"/>
      <c r="IRB46" s="987"/>
      <c r="IRC46" s="987"/>
      <c r="IRD46" s="987"/>
      <c r="IRE46" s="987"/>
      <c r="IRF46" s="987"/>
      <c r="IRG46" s="987"/>
      <c r="IRH46" s="987"/>
      <c r="IRI46" s="987"/>
      <c r="IRJ46" s="987"/>
      <c r="IRK46" s="987"/>
      <c r="IRL46" s="987"/>
      <c r="IRM46" s="987"/>
      <c r="IRN46" s="987"/>
      <c r="IRO46" s="987"/>
      <c r="IRP46" s="987"/>
      <c r="IRQ46" s="987"/>
      <c r="IRR46" s="987"/>
      <c r="IRS46" s="987"/>
      <c r="IRT46" s="987"/>
      <c r="IRU46" s="987"/>
      <c r="IRV46" s="987"/>
      <c r="IRW46" s="987"/>
      <c r="IRX46" s="987"/>
      <c r="IRY46" s="987"/>
      <c r="IRZ46" s="987"/>
      <c r="ISA46" s="987"/>
      <c r="ISB46" s="987"/>
      <c r="ISC46" s="987"/>
      <c r="ISD46" s="987"/>
      <c r="ISE46" s="987"/>
      <c r="ISF46" s="987"/>
      <c r="ISG46" s="987"/>
      <c r="ISH46" s="987"/>
      <c r="ISI46" s="987"/>
      <c r="ISJ46" s="987"/>
      <c r="ISK46" s="987"/>
      <c r="ISL46" s="987"/>
      <c r="ISM46" s="987"/>
      <c r="ISN46" s="987"/>
      <c r="ISO46" s="987"/>
      <c r="ISP46" s="987"/>
      <c r="ISQ46" s="987"/>
      <c r="ISR46" s="987"/>
      <c r="ISS46" s="987"/>
      <c r="IST46" s="987"/>
      <c r="ISU46" s="987"/>
      <c r="ISV46" s="987"/>
      <c r="ISW46" s="987"/>
      <c r="ISX46" s="987"/>
      <c r="ISY46" s="987"/>
      <c r="ISZ46" s="987"/>
      <c r="ITA46" s="987"/>
      <c r="ITB46" s="987"/>
      <c r="ITC46" s="987"/>
      <c r="ITD46" s="987"/>
      <c r="ITE46" s="987"/>
      <c r="ITF46" s="987"/>
      <c r="ITG46" s="987"/>
      <c r="ITH46" s="987"/>
      <c r="ITI46" s="987"/>
      <c r="ITJ46" s="987"/>
      <c r="ITK46" s="987"/>
      <c r="ITL46" s="987"/>
      <c r="ITM46" s="987"/>
      <c r="ITN46" s="987"/>
      <c r="ITO46" s="987"/>
      <c r="ITP46" s="987"/>
      <c r="ITQ46" s="987"/>
      <c r="ITR46" s="987"/>
      <c r="ITS46" s="987"/>
      <c r="ITT46" s="987"/>
      <c r="ITU46" s="987"/>
      <c r="ITV46" s="987"/>
      <c r="ITW46" s="987"/>
      <c r="ITX46" s="987"/>
      <c r="ITY46" s="987"/>
      <c r="ITZ46" s="987"/>
      <c r="IUA46" s="987"/>
      <c r="IUB46" s="987"/>
      <c r="IUC46" s="987"/>
      <c r="IUD46" s="987"/>
      <c r="IUE46" s="987"/>
      <c r="IUF46" s="987"/>
      <c r="IUG46" s="987"/>
      <c r="IUH46" s="987"/>
      <c r="IUI46" s="987"/>
      <c r="IUJ46" s="987"/>
      <c r="IUK46" s="987"/>
      <c r="IUL46" s="987"/>
      <c r="IUM46" s="987"/>
      <c r="IUN46" s="987"/>
      <c r="IUO46" s="987"/>
      <c r="IUP46" s="987"/>
      <c r="IUQ46" s="987"/>
      <c r="IUR46" s="987"/>
      <c r="IUS46" s="987"/>
      <c r="IUT46" s="987"/>
      <c r="IUU46" s="987"/>
      <c r="IUV46" s="987"/>
      <c r="IUW46" s="987"/>
      <c r="IUX46" s="987"/>
      <c r="IUY46" s="987"/>
      <c r="IUZ46" s="987"/>
      <c r="IVA46" s="987"/>
      <c r="IVB46" s="987"/>
      <c r="IVC46" s="987"/>
      <c r="IVD46" s="987"/>
      <c r="IVE46" s="987"/>
      <c r="IVF46" s="987"/>
      <c r="IVG46" s="987"/>
      <c r="IVH46" s="987"/>
      <c r="IVI46" s="987"/>
      <c r="IVJ46" s="987"/>
      <c r="IVK46" s="987"/>
      <c r="IVL46" s="987"/>
      <c r="IVM46" s="987"/>
      <c r="IVN46" s="987"/>
      <c r="IVO46" s="987"/>
      <c r="IVP46" s="987"/>
      <c r="IVQ46" s="987"/>
      <c r="IVR46" s="987"/>
      <c r="IVS46" s="987"/>
      <c r="IVT46" s="987"/>
      <c r="IVU46" s="987"/>
      <c r="IVV46" s="987"/>
      <c r="IVW46" s="987"/>
      <c r="IVX46" s="987"/>
      <c r="IVY46" s="987"/>
      <c r="IVZ46" s="987"/>
      <c r="IWA46" s="987"/>
      <c r="IWB46" s="987"/>
      <c r="IWC46" s="987"/>
      <c r="IWD46" s="987"/>
      <c r="IWE46" s="987"/>
      <c r="IWF46" s="987"/>
      <c r="IWG46" s="987"/>
      <c r="IWH46" s="987"/>
      <c r="IWI46" s="987"/>
      <c r="IWJ46" s="987"/>
      <c r="IWK46" s="987"/>
      <c r="IWL46" s="987"/>
      <c r="IWM46" s="987"/>
      <c r="IWN46" s="987"/>
      <c r="IWO46" s="987"/>
      <c r="IWP46" s="987"/>
      <c r="IWQ46" s="987"/>
      <c r="IWR46" s="987"/>
      <c r="IWS46" s="987"/>
      <c r="IWT46" s="987"/>
      <c r="IWU46" s="987"/>
      <c r="IWV46" s="987"/>
      <c r="IWW46" s="987"/>
      <c r="IWX46" s="987"/>
      <c r="IWY46" s="987"/>
      <c r="IWZ46" s="987"/>
      <c r="IXA46" s="987"/>
      <c r="IXB46" s="987"/>
      <c r="IXC46" s="987"/>
      <c r="IXD46" s="987"/>
      <c r="IXE46" s="987"/>
      <c r="IXF46" s="987"/>
      <c r="IXG46" s="987"/>
      <c r="IXH46" s="987"/>
      <c r="IXI46" s="987"/>
      <c r="IXJ46" s="987"/>
      <c r="IXK46" s="987"/>
      <c r="IXL46" s="987"/>
      <c r="IXM46" s="987"/>
      <c r="IXN46" s="987"/>
      <c r="IXO46" s="987"/>
      <c r="IXP46" s="987"/>
      <c r="IXQ46" s="987"/>
      <c r="IXR46" s="987"/>
      <c r="IXS46" s="987"/>
      <c r="IXT46" s="987"/>
      <c r="IXU46" s="987"/>
      <c r="IXV46" s="987"/>
      <c r="IXW46" s="987"/>
      <c r="IXX46" s="987"/>
      <c r="IXY46" s="987"/>
      <c r="IXZ46" s="987"/>
      <c r="IYA46" s="987"/>
      <c r="IYB46" s="987"/>
      <c r="IYC46" s="987"/>
      <c r="IYD46" s="987"/>
      <c r="IYE46" s="987"/>
      <c r="IYF46" s="987"/>
      <c r="IYG46" s="987"/>
      <c r="IYH46" s="987"/>
      <c r="IYI46" s="987"/>
      <c r="IYJ46" s="987"/>
      <c r="IYK46" s="987"/>
      <c r="IYL46" s="987"/>
      <c r="IYM46" s="987"/>
      <c r="IYN46" s="987"/>
      <c r="IYO46" s="987"/>
      <c r="IYP46" s="987"/>
      <c r="IYQ46" s="987"/>
      <c r="IYR46" s="987"/>
      <c r="IYS46" s="987"/>
      <c r="IYT46" s="987"/>
      <c r="IYU46" s="987"/>
      <c r="IYV46" s="987"/>
      <c r="IYW46" s="987"/>
      <c r="IYX46" s="987"/>
      <c r="IYY46" s="987"/>
      <c r="IYZ46" s="987"/>
      <c r="IZA46" s="987"/>
      <c r="IZB46" s="987"/>
      <c r="IZC46" s="987"/>
      <c r="IZD46" s="987"/>
      <c r="IZE46" s="987"/>
      <c r="IZF46" s="987"/>
      <c r="IZG46" s="987"/>
      <c r="IZH46" s="987"/>
      <c r="IZI46" s="987"/>
      <c r="IZJ46" s="987"/>
      <c r="IZK46" s="987"/>
      <c r="IZL46" s="987"/>
      <c r="IZM46" s="987"/>
      <c r="IZN46" s="987"/>
      <c r="IZO46" s="987"/>
      <c r="IZP46" s="987"/>
      <c r="IZQ46" s="987"/>
      <c r="IZR46" s="987"/>
      <c r="IZS46" s="987"/>
      <c r="IZT46" s="987"/>
      <c r="IZU46" s="987"/>
      <c r="IZV46" s="987"/>
      <c r="IZW46" s="987"/>
      <c r="IZX46" s="987"/>
      <c r="IZY46" s="987"/>
      <c r="IZZ46" s="987"/>
      <c r="JAA46" s="987"/>
      <c r="JAB46" s="987"/>
      <c r="JAC46" s="987"/>
      <c r="JAD46" s="987"/>
      <c r="JAE46" s="987"/>
      <c r="JAF46" s="987"/>
      <c r="JAG46" s="987"/>
      <c r="JAH46" s="987"/>
      <c r="JAI46" s="987"/>
      <c r="JAJ46" s="987"/>
      <c r="JAK46" s="987"/>
      <c r="JAL46" s="987"/>
      <c r="JAM46" s="987"/>
      <c r="JAN46" s="987"/>
      <c r="JAO46" s="987"/>
      <c r="JAP46" s="987"/>
      <c r="JAQ46" s="987"/>
      <c r="JAR46" s="987"/>
      <c r="JAS46" s="987"/>
      <c r="JAT46" s="987"/>
      <c r="JAU46" s="987"/>
      <c r="JAV46" s="987"/>
      <c r="JAW46" s="987"/>
      <c r="JAX46" s="987"/>
      <c r="JAY46" s="987"/>
      <c r="JAZ46" s="987"/>
      <c r="JBA46" s="987"/>
      <c r="JBB46" s="987"/>
      <c r="JBC46" s="987"/>
      <c r="JBD46" s="987"/>
      <c r="JBE46" s="987"/>
      <c r="JBF46" s="987"/>
      <c r="JBG46" s="987"/>
      <c r="JBH46" s="987"/>
      <c r="JBI46" s="987"/>
      <c r="JBJ46" s="987"/>
      <c r="JBK46" s="987"/>
      <c r="JBL46" s="987"/>
      <c r="JBM46" s="987"/>
      <c r="JBN46" s="987"/>
      <c r="JBO46" s="987"/>
      <c r="JBP46" s="987"/>
      <c r="JBQ46" s="987"/>
      <c r="JBR46" s="987"/>
      <c r="JBS46" s="987"/>
      <c r="JBT46" s="987"/>
      <c r="JBU46" s="987"/>
      <c r="JBV46" s="987"/>
      <c r="JBW46" s="987"/>
      <c r="JBX46" s="987"/>
      <c r="JBY46" s="987"/>
      <c r="JBZ46" s="987"/>
      <c r="JCA46" s="987"/>
      <c r="JCB46" s="987"/>
      <c r="JCC46" s="987"/>
      <c r="JCD46" s="987"/>
      <c r="JCE46" s="987"/>
      <c r="JCF46" s="987"/>
      <c r="JCG46" s="987"/>
      <c r="JCH46" s="987"/>
      <c r="JCI46" s="987"/>
      <c r="JCJ46" s="987"/>
      <c r="JCK46" s="987"/>
      <c r="JCL46" s="987"/>
      <c r="JCM46" s="987"/>
      <c r="JCN46" s="987"/>
      <c r="JCO46" s="987"/>
      <c r="JCP46" s="987"/>
      <c r="JCQ46" s="987"/>
      <c r="JCR46" s="987"/>
      <c r="JCS46" s="987"/>
      <c r="JCT46" s="987"/>
      <c r="JCU46" s="987"/>
      <c r="JCV46" s="987"/>
      <c r="JCW46" s="987"/>
      <c r="JCX46" s="987"/>
      <c r="JCY46" s="987"/>
      <c r="JCZ46" s="987"/>
      <c r="JDA46" s="987"/>
      <c r="JDB46" s="987"/>
      <c r="JDC46" s="987"/>
      <c r="JDD46" s="987"/>
      <c r="JDE46" s="987"/>
      <c r="JDF46" s="987"/>
      <c r="JDG46" s="987"/>
      <c r="JDH46" s="987"/>
      <c r="JDI46" s="987"/>
      <c r="JDJ46" s="987"/>
      <c r="JDK46" s="987"/>
      <c r="JDL46" s="987"/>
      <c r="JDM46" s="987"/>
      <c r="JDN46" s="987"/>
      <c r="JDO46" s="987"/>
      <c r="JDP46" s="987"/>
      <c r="JDQ46" s="987"/>
      <c r="JDR46" s="987"/>
      <c r="JDS46" s="987"/>
      <c r="JDT46" s="987"/>
      <c r="JDU46" s="987"/>
      <c r="JDV46" s="987"/>
      <c r="JDW46" s="987"/>
      <c r="JDX46" s="987"/>
      <c r="JDY46" s="987"/>
      <c r="JDZ46" s="987"/>
      <c r="JEA46" s="987"/>
      <c r="JEB46" s="987"/>
      <c r="JEC46" s="987"/>
      <c r="JED46" s="987"/>
      <c r="JEE46" s="987"/>
      <c r="JEF46" s="987"/>
      <c r="JEG46" s="987"/>
      <c r="JEH46" s="987"/>
      <c r="JEI46" s="987"/>
      <c r="JEJ46" s="987"/>
      <c r="JEK46" s="987"/>
      <c r="JEL46" s="987"/>
      <c r="JEM46" s="987"/>
      <c r="JEN46" s="987"/>
      <c r="JEO46" s="987"/>
      <c r="JEP46" s="987"/>
      <c r="JEQ46" s="987"/>
      <c r="JER46" s="987"/>
      <c r="JES46" s="987"/>
      <c r="JET46" s="987"/>
      <c r="JEU46" s="987"/>
      <c r="JEV46" s="987"/>
      <c r="JEW46" s="987"/>
      <c r="JEX46" s="987"/>
      <c r="JEY46" s="987"/>
      <c r="JEZ46" s="987"/>
      <c r="JFA46" s="987"/>
      <c r="JFB46" s="987"/>
      <c r="JFC46" s="987"/>
      <c r="JFD46" s="987"/>
      <c r="JFE46" s="987"/>
      <c r="JFF46" s="987"/>
      <c r="JFG46" s="987"/>
      <c r="JFH46" s="987"/>
      <c r="JFI46" s="987"/>
      <c r="JFJ46" s="987"/>
      <c r="JFK46" s="987"/>
      <c r="JFL46" s="987"/>
      <c r="JFM46" s="987"/>
      <c r="JFN46" s="987"/>
      <c r="JFO46" s="987"/>
      <c r="JFP46" s="987"/>
      <c r="JFQ46" s="987"/>
      <c r="JFR46" s="987"/>
      <c r="JFS46" s="987"/>
      <c r="JFT46" s="987"/>
      <c r="JFU46" s="987"/>
      <c r="JFV46" s="987"/>
      <c r="JFW46" s="987"/>
      <c r="JFX46" s="987"/>
      <c r="JFY46" s="987"/>
      <c r="JFZ46" s="987"/>
      <c r="JGA46" s="987"/>
      <c r="JGB46" s="987"/>
      <c r="JGC46" s="987"/>
      <c r="JGD46" s="987"/>
      <c r="JGE46" s="987"/>
      <c r="JGF46" s="987"/>
      <c r="JGG46" s="987"/>
      <c r="JGH46" s="987"/>
      <c r="JGI46" s="987"/>
      <c r="JGJ46" s="987"/>
      <c r="JGK46" s="987"/>
      <c r="JGL46" s="987"/>
      <c r="JGM46" s="987"/>
      <c r="JGN46" s="987"/>
      <c r="JGO46" s="987"/>
      <c r="JGP46" s="987"/>
      <c r="JGQ46" s="987"/>
      <c r="JGR46" s="987"/>
      <c r="JGS46" s="987"/>
      <c r="JGT46" s="987"/>
      <c r="JGU46" s="987"/>
      <c r="JGV46" s="987"/>
      <c r="JGW46" s="987"/>
      <c r="JGX46" s="987"/>
      <c r="JGY46" s="987"/>
      <c r="JGZ46" s="987"/>
      <c r="JHA46" s="987"/>
      <c r="JHB46" s="987"/>
      <c r="JHC46" s="987"/>
      <c r="JHD46" s="987"/>
      <c r="JHE46" s="987"/>
      <c r="JHF46" s="987"/>
      <c r="JHG46" s="987"/>
      <c r="JHH46" s="987"/>
      <c r="JHI46" s="987"/>
      <c r="JHJ46" s="987"/>
      <c r="JHK46" s="987"/>
      <c r="JHL46" s="987"/>
      <c r="JHM46" s="987"/>
      <c r="JHN46" s="987"/>
      <c r="JHO46" s="987"/>
      <c r="JHP46" s="987"/>
      <c r="JHQ46" s="987"/>
      <c r="JHR46" s="987"/>
      <c r="JHS46" s="987"/>
      <c r="JHT46" s="987"/>
      <c r="JHU46" s="987"/>
      <c r="JHV46" s="987"/>
      <c r="JHW46" s="987"/>
      <c r="JHX46" s="987"/>
      <c r="JHY46" s="987"/>
      <c r="JHZ46" s="987"/>
      <c r="JIA46" s="987"/>
      <c r="JIB46" s="987"/>
      <c r="JIC46" s="987"/>
      <c r="JID46" s="987"/>
      <c r="JIE46" s="987"/>
      <c r="JIF46" s="987"/>
      <c r="JIG46" s="987"/>
      <c r="JIH46" s="987"/>
      <c r="JII46" s="987"/>
      <c r="JIJ46" s="987"/>
      <c r="JIK46" s="987"/>
      <c r="JIL46" s="987"/>
      <c r="JIM46" s="987"/>
      <c r="JIN46" s="987"/>
      <c r="JIO46" s="987"/>
      <c r="JIP46" s="987"/>
      <c r="JIQ46" s="987"/>
      <c r="JIR46" s="987"/>
      <c r="JIS46" s="987"/>
      <c r="JIT46" s="987"/>
      <c r="JIU46" s="987"/>
      <c r="JIV46" s="987"/>
      <c r="JIW46" s="987"/>
      <c r="JIX46" s="987"/>
      <c r="JIY46" s="987"/>
      <c r="JIZ46" s="987"/>
      <c r="JJA46" s="987"/>
      <c r="JJB46" s="987"/>
      <c r="JJC46" s="987"/>
      <c r="JJD46" s="987"/>
      <c r="JJE46" s="987"/>
      <c r="JJF46" s="987"/>
      <c r="JJG46" s="987"/>
      <c r="JJH46" s="987"/>
      <c r="JJI46" s="987"/>
      <c r="JJJ46" s="987"/>
      <c r="JJK46" s="987"/>
      <c r="JJL46" s="987"/>
      <c r="JJM46" s="987"/>
      <c r="JJN46" s="987"/>
      <c r="JJO46" s="987"/>
      <c r="JJP46" s="987"/>
      <c r="JJQ46" s="987"/>
      <c r="JJR46" s="987"/>
      <c r="JJS46" s="987"/>
      <c r="JJT46" s="987"/>
      <c r="JJU46" s="987"/>
      <c r="JJV46" s="987"/>
      <c r="JJW46" s="987"/>
      <c r="JJX46" s="987"/>
      <c r="JJY46" s="987"/>
      <c r="JJZ46" s="987"/>
      <c r="JKA46" s="987"/>
      <c r="JKB46" s="987"/>
      <c r="JKC46" s="987"/>
      <c r="JKD46" s="987"/>
      <c r="JKE46" s="987"/>
      <c r="JKF46" s="987"/>
      <c r="JKG46" s="987"/>
      <c r="JKH46" s="987"/>
      <c r="JKI46" s="987"/>
      <c r="JKJ46" s="987"/>
      <c r="JKK46" s="987"/>
      <c r="JKL46" s="987"/>
      <c r="JKM46" s="987"/>
      <c r="JKN46" s="987"/>
      <c r="JKO46" s="987"/>
      <c r="JKP46" s="987"/>
      <c r="JKQ46" s="987"/>
      <c r="JKR46" s="987"/>
      <c r="JKS46" s="987"/>
      <c r="JKT46" s="987"/>
      <c r="JKU46" s="987"/>
      <c r="JKV46" s="987"/>
      <c r="JKW46" s="987"/>
      <c r="JKX46" s="987"/>
      <c r="JKY46" s="987"/>
      <c r="JKZ46" s="987"/>
      <c r="JLA46" s="987"/>
      <c r="JLB46" s="987"/>
      <c r="JLC46" s="987"/>
      <c r="JLD46" s="987"/>
      <c r="JLE46" s="987"/>
      <c r="JLF46" s="987"/>
      <c r="JLG46" s="987"/>
      <c r="JLH46" s="987"/>
      <c r="JLI46" s="987"/>
      <c r="JLJ46" s="987"/>
      <c r="JLK46" s="987"/>
      <c r="JLL46" s="987"/>
      <c r="JLM46" s="987"/>
      <c r="JLN46" s="987"/>
      <c r="JLO46" s="987"/>
      <c r="JLP46" s="987"/>
      <c r="JLQ46" s="987"/>
      <c r="JLR46" s="987"/>
      <c r="JLS46" s="987"/>
      <c r="JLT46" s="987"/>
      <c r="JLU46" s="987"/>
      <c r="JLV46" s="987"/>
      <c r="JLW46" s="987"/>
      <c r="JLX46" s="987"/>
      <c r="JLY46" s="987"/>
      <c r="JLZ46" s="987"/>
      <c r="JMA46" s="987"/>
      <c r="JMB46" s="987"/>
      <c r="JMC46" s="987"/>
      <c r="JMD46" s="987"/>
      <c r="JME46" s="987"/>
      <c r="JMF46" s="987"/>
      <c r="JMG46" s="987"/>
      <c r="JMH46" s="987"/>
      <c r="JMI46" s="987"/>
      <c r="JMJ46" s="987"/>
      <c r="JMK46" s="987"/>
      <c r="JML46" s="987"/>
      <c r="JMM46" s="987"/>
      <c r="JMN46" s="987"/>
      <c r="JMO46" s="987"/>
      <c r="JMP46" s="987"/>
      <c r="JMQ46" s="987"/>
      <c r="JMR46" s="987"/>
      <c r="JMS46" s="987"/>
      <c r="JMT46" s="987"/>
      <c r="JMU46" s="987"/>
      <c r="JMV46" s="987"/>
      <c r="JMW46" s="987"/>
      <c r="JMX46" s="987"/>
      <c r="JMY46" s="987"/>
      <c r="JMZ46" s="987"/>
      <c r="JNA46" s="987"/>
      <c r="JNB46" s="987"/>
      <c r="JNC46" s="987"/>
      <c r="JND46" s="987"/>
      <c r="JNE46" s="987"/>
      <c r="JNF46" s="987"/>
      <c r="JNG46" s="987"/>
      <c r="JNH46" s="987"/>
      <c r="JNI46" s="987"/>
      <c r="JNJ46" s="987"/>
      <c r="JNK46" s="987"/>
      <c r="JNL46" s="987"/>
      <c r="JNM46" s="987"/>
      <c r="JNN46" s="987"/>
      <c r="JNO46" s="987"/>
      <c r="JNP46" s="987"/>
      <c r="JNQ46" s="987"/>
      <c r="JNR46" s="987"/>
      <c r="JNS46" s="987"/>
      <c r="JNT46" s="987"/>
      <c r="JNU46" s="987"/>
      <c r="JNV46" s="987"/>
      <c r="JNW46" s="987"/>
      <c r="JNX46" s="987"/>
      <c r="JNY46" s="987"/>
      <c r="JNZ46" s="987"/>
      <c r="JOA46" s="987"/>
      <c r="JOB46" s="987"/>
      <c r="JOC46" s="987"/>
      <c r="JOD46" s="987"/>
      <c r="JOE46" s="987"/>
      <c r="JOF46" s="987"/>
      <c r="JOG46" s="987"/>
      <c r="JOH46" s="987"/>
      <c r="JOI46" s="987"/>
      <c r="JOJ46" s="987"/>
      <c r="JOK46" s="987"/>
      <c r="JOL46" s="987"/>
      <c r="JOM46" s="987"/>
      <c r="JON46" s="987"/>
      <c r="JOO46" s="987"/>
      <c r="JOP46" s="987"/>
      <c r="JOQ46" s="987"/>
      <c r="JOR46" s="987"/>
      <c r="JOS46" s="987"/>
      <c r="JOT46" s="987"/>
      <c r="JOU46" s="987"/>
      <c r="JOV46" s="987"/>
      <c r="JOW46" s="987"/>
      <c r="JOX46" s="987"/>
      <c r="JOY46" s="987"/>
      <c r="JOZ46" s="987"/>
      <c r="JPA46" s="987"/>
      <c r="JPB46" s="987"/>
      <c r="JPC46" s="987"/>
      <c r="JPD46" s="987"/>
      <c r="JPE46" s="987"/>
      <c r="JPF46" s="987"/>
      <c r="JPG46" s="987"/>
      <c r="JPH46" s="987"/>
      <c r="JPI46" s="987"/>
      <c r="JPJ46" s="987"/>
      <c r="JPK46" s="987"/>
      <c r="JPL46" s="987"/>
      <c r="JPM46" s="987"/>
      <c r="JPN46" s="987"/>
      <c r="JPO46" s="987"/>
      <c r="JPP46" s="987"/>
      <c r="JPQ46" s="987"/>
      <c r="JPR46" s="987"/>
      <c r="JPS46" s="987"/>
      <c r="JPT46" s="987"/>
      <c r="JPU46" s="987"/>
      <c r="JPV46" s="987"/>
      <c r="JPW46" s="987"/>
      <c r="JPX46" s="987"/>
      <c r="JPY46" s="987"/>
      <c r="JPZ46" s="987"/>
      <c r="JQA46" s="987"/>
      <c r="JQB46" s="987"/>
      <c r="JQC46" s="987"/>
      <c r="JQD46" s="987"/>
      <c r="JQE46" s="987"/>
      <c r="JQF46" s="987"/>
      <c r="JQG46" s="987"/>
      <c r="JQH46" s="987"/>
      <c r="JQI46" s="987"/>
      <c r="JQJ46" s="987"/>
      <c r="JQK46" s="987"/>
      <c r="JQL46" s="987"/>
      <c r="JQM46" s="987"/>
      <c r="JQN46" s="987"/>
      <c r="JQO46" s="987"/>
      <c r="JQP46" s="987"/>
      <c r="JQQ46" s="987"/>
      <c r="JQR46" s="987"/>
      <c r="JQS46" s="987"/>
      <c r="JQT46" s="987"/>
      <c r="JQU46" s="987"/>
      <c r="JQV46" s="987"/>
      <c r="JQW46" s="987"/>
      <c r="JQX46" s="987"/>
      <c r="JQY46" s="987"/>
      <c r="JQZ46" s="987"/>
      <c r="JRA46" s="987"/>
      <c r="JRB46" s="987"/>
      <c r="JRC46" s="987"/>
      <c r="JRD46" s="987"/>
      <c r="JRE46" s="987"/>
      <c r="JRF46" s="987"/>
      <c r="JRG46" s="987"/>
      <c r="JRH46" s="987"/>
      <c r="JRI46" s="987"/>
      <c r="JRJ46" s="987"/>
      <c r="JRK46" s="987"/>
      <c r="JRL46" s="987"/>
      <c r="JRM46" s="987"/>
      <c r="JRN46" s="987"/>
      <c r="JRO46" s="987"/>
      <c r="JRP46" s="987"/>
      <c r="JRQ46" s="987"/>
      <c r="JRR46" s="987"/>
      <c r="JRS46" s="987"/>
      <c r="JRT46" s="987"/>
      <c r="JRU46" s="987"/>
      <c r="JRV46" s="987"/>
      <c r="JRW46" s="987"/>
      <c r="JRX46" s="987"/>
      <c r="JRY46" s="987"/>
      <c r="JRZ46" s="987"/>
      <c r="JSA46" s="987"/>
      <c r="JSB46" s="987"/>
      <c r="JSC46" s="987"/>
      <c r="JSD46" s="987"/>
      <c r="JSE46" s="987"/>
      <c r="JSF46" s="987"/>
      <c r="JSG46" s="987"/>
      <c r="JSH46" s="987"/>
      <c r="JSI46" s="987"/>
      <c r="JSJ46" s="987"/>
      <c r="JSK46" s="987"/>
      <c r="JSL46" s="987"/>
      <c r="JSM46" s="987"/>
      <c r="JSN46" s="987"/>
      <c r="JSO46" s="987"/>
      <c r="JSP46" s="987"/>
      <c r="JSQ46" s="987"/>
      <c r="JSR46" s="987"/>
      <c r="JSS46" s="987"/>
      <c r="JST46" s="987"/>
      <c r="JSU46" s="987"/>
      <c r="JSV46" s="987"/>
      <c r="JSW46" s="987"/>
      <c r="JSX46" s="987"/>
      <c r="JSY46" s="987"/>
      <c r="JSZ46" s="987"/>
      <c r="JTA46" s="987"/>
      <c r="JTB46" s="987"/>
      <c r="JTC46" s="987"/>
      <c r="JTD46" s="987"/>
      <c r="JTE46" s="987"/>
      <c r="JTF46" s="987"/>
      <c r="JTG46" s="987"/>
      <c r="JTH46" s="987"/>
      <c r="JTI46" s="987"/>
      <c r="JTJ46" s="987"/>
      <c r="JTK46" s="987"/>
      <c r="JTL46" s="987"/>
      <c r="JTM46" s="987"/>
      <c r="JTN46" s="987"/>
      <c r="JTO46" s="987"/>
      <c r="JTP46" s="987"/>
      <c r="JTQ46" s="987"/>
      <c r="JTR46" s="987"/>
      <c r="JTS46" s="987"/>
      <c r="JTT46" s="987"/>
      <c r="JTU46" s="987"/>
      <c r="JTV46" s="987"/>
      <c r="JTW46" s="987"/>
      <c r="JTX46" s="987"/>
      <c r="JTY46" s="987"/>
      <c r="JTZ46" s="987"/>
      <c r="JUA46" s="987"/>
      <c r="JUB46" s="987"/>
      <c r="JUC46" s="987"/>
      <c r="JUD46" s="987"/>
      <c r="JUE46" s="987"/>
      <c r="JUF46" s="987"/>
      <c r="JUG46" s="987"/>
      <c r="JUH46" s="987"/>
      <c r="JUI46" s="987"/>
      <c r="JUJ46" s="987"/>
      <c r="JUK46" s="987"/>
      <c r="JUL46" s="987"/>
      <c r="JUM46" s="987"/>
      <c r="JUN46" s="987"/>
      <c r="JUO46" s="987"/>
      <c r="JUP46" s="987"/>
      <c r="JUQ46" s="987"/>
      <c r="JUR46" s="987"/>
      <c r="JUS46" s="987"/>
      <c r="JUT46" s="987"/>
      <c r="JUU46" s="987"/>
      <c r="JUV46" s="987"/>
      <c r="JUW46" s="987"/>
      <c r="JUX46" s="987"/>
      <c r="JUY46" s="987"/>
      <c r="JUZ46" s="987"/>
      <c r="JVA46" s="987"/>
      <c r="JVB46" s="987"/>
      <c r="JVC46" s="987"/>
      <c r="JVD46" s="987"/>
      <c r="JVE46" s="987"/>
      <c r="JVF46" s="987"/>
      <c r="JVG46" s="987"/>
      <c r="JVH46" s="987"/>
      <c r="JVI46" s="987"/>
      <c r="JVJ46" s="987"/>
      <c r="JVK46" s="987"/>
      <c r="JVL46" s="987"/>
      <c r="JVM46" s="987"/>
      <c r="JVN46" s="987"/>
      <c r="JVO46" s="987"/>
      <c r="JVP46" s="987"/>
      <c r="JVQ46" s="987"/>
      <c r="JVR46" s="987"/>
      <c r="JVS46" s="987"/>
      <c r="JVT46" s="987"/>
      <c r="JVU46" s="987"/>
      <c r="JVV46" s="987"/>
      <c r="JVW46" s="987"/>
      <c r="JVX46" s="987"/>
      <c r="JVY46" s="987"/>
      <c r="JVZ46" s="987"/>
      <c r="JWA46" s="987"/>
      <c r="JWB46" s="987"/>
      <c r="JWC46" s="987"/>
      <c r="JWD46" s="987"/>
      <c r="JWE46" s="987"/>
      <c r="JWF46" s="987"/>
      <c r="JWG46" s="987"/>
      <c r="JWH46" s="987"/>
      <c r="JWI46" s="987"/>
      <c r="JWJ46" s="987"/>
      <c r="JWK46" s="987"/>
      <c r="JWL46" s="987"/>
      <c r="JWM46" s="987"/>
      <c r="JWN46" s="987"/>
      <c r="JWO46" s="987"/>
      <c r="JWP46" s="987"/>
      <c r="JWQ46" s="987"/>
      <c r="JWR46" s="987"/>
      <c r="JWS46" s="987"/>
      <c r="JWT46" s="987"/>
      <c r="JWU46" s="987"/>
      <c r="JWV46" s="987"/>
      <c r="JWW46" s="987"/>
      <c r="JWX46" s="987"/>
      <c r="JWY46" s="987"/>
      <c r="JWZ46" s="987"/>
      <c r="JXA46" s="987"/>
      <c r="JXB46" s="987"/>
      <c r="JXC46" s="987"/>
      <c r="JXD46" s="987"/>
      <c r="JXE46" s="987"/>
      <c r="JXF46" s="987"/>
      <c r="JXG46" s="987"/>
      <c r="JXH46" s="987"/>
      <c r="JXI46" s="987"/>
      <c r="JXJ46" s="987"/>
      <c r="JXK46" s="987"/>
      <c r="JXL46" s="987"/>
      <c r="JXM46" s="987"/>
      <c r="JXN46" s="987"/>
      <c r="JXO46" s="987"/>
      <c r="JXP46" s="987"/>
      <c r="JXQ46" s="987"/>
      <c r="JXR46" s="987"/>
      <c r="JXS46" s="987"/>
      <c r="JXT46" s="987"/>
      <c r="JXU46" s="987"/>
      <c r="JXV46" s="987"/>
      <c r="JXW46" s="987"/>
      <c r="JXX46" s="987"/>
      <c r="JXY46" s="987"/>
      <c r="JXZ46" s="987"/>
      <c r="JYA46" s="987"/>
      <c r="JYB46" s="987"/>
      <c r="JYC46" s="987"/>
      <c r="JYD46" s="987"/>
      <c r="JYE46" s="987"/>
      <c r="JYF46" s="987"/>
      <c r="JYG46" s="987"/>
      <c r="JYH46" s="987"/>
      <c r="JYI46" s="987"/>
      <c r="JYJ46" s="987"/>
      <c r="JYK46" s="987"/>
      <c r="JYL46" s="987"/>
      <c r="JYM46" s="987"/>
      <c r="JYN46" s="987"/>
      <c r="JYO46" s="987"/>
      <c r="JYP46" s="987"/>
      <c r="JYQ46" s="987"/>
      <c r="JYR46" s="987"/>
      <c r="JYS46" s="987"/>
      <c r="JYT46" s="987"/>
      <c r="JYU46" s="987"/>
      <c r="JYV46" s="987"/>
      <c r="JYW46" s="987"/>
      <c r="JYX46" s="987"/>
      <c r="JYY46" s="987"/>
      <c r="JYZ46" s="987"/>
      <c r="JZA46" s="987"/>
      <c r="JZB46" s="987"/>
      <c r="JZC46" s="987"/>
      <c r="JZD46" s="987"/>
      <c r="JZE46" s="987"/>
      <c r="JZF46" s="987"/>
      <c r="JZG46" s="987"/>
      <c r="JZH46" s="987"/>
      <c r="JZI46" s="987"/>
      <c r="JZJ46" s="987"/>
      <c r="JZK46" s="987"/>
      <c r="JZL46" s="987"/>
      <c r="JZM46" s="987"/>
      <c r="JZN46" s="987"/>
      <c r="JZO46" s="987"/>
      <c r="JZP46" s="987"/>
      <c r="JZQ46" s="987"/>
      <c r="JZR46" s="987"/>
      <c r="JZS46" s="987"/>
      <c r="JZT46" s="987"/>
      <c r="JZU46" s="987"/>
      <c r="JZV46" s="987"/>
      <c r="JZW46" s="987"/>
      <c r="JZX46" s="987"/>
      <c r="JZY46" s="987"/>
      <c r="JZZ46" s="987"/>
      <c r="KAA46" s="987"/>
      <c r="KAB46" s="987"/>
      <c r="KAC46" s="987"/>
      <c r="KAD46" s="987"/>
      <c r="KAE46" s="987"/>
      <c r="KAF46" s="987"/>
      <c r="KAG46" s="987"/>
      <c r="KAH46" s="987"/>
      <c r="KAI46" s="987"/>
      <c r="KAJ46" s="987"/>
      <c r="KAK46" s="987"/>
      <c r="KAL46" s="987"/>
      <c r="KAM46" s="987"/>
      <c r="KAN46" s="987"/>
      <c r="KAO46" s="987"/>
      <c r="KAP46" s="987"/>
      <c r="KAQ46" s="987"/>
      <c r="KAR46" s="987"/>
      <c r="KAS46" s="987"/>
      <c r="KAT46" s="987"/>
      <c r="KAU46" s="987"/>
      <c r="KAV46" s="987"/>
      <c r="KAW46" s="987"/>
      <c r="KAX46" s="987"/>
      <c r="KAY46" s="987"/>
      <c r="KAZ46" s="987"/>
      <c r="KBA46" s="987"/>
      <c r="KBB46" s="987"/>
      <c r="KBC46" s="987"/>
      <c r="KBD46" s="987"/>
      <c r="KBE46" s="987"/>
      <c r="KBF46" s="987"/>
      <c r="KBG46" s="987"/>
      <c r="KBH46" s="987"/>
      <c r="KBI46" s="987"/>
      <c r="KBJ46" s="987"/>
      <c r="KBK46" s="987"/>
      <c r="KBL46" s="987"/>
      <c r="KBM46" s="987"/>
      <c r="KBN46" s="987"/>
      <c r="KBO46" s="987"/>
      <c r="KBP46" s="987"/>
      <c r="KBQ46" s="987"/>
      <c r="KBR46" s="987"/>
      <c r="KBS46" s="987"/>
      <c r="KBT46" s="987"/>
      <c r="KBU46" s="987"/>
      <c r="KBV46" s="987"/>
      <c r="KBW46" s="987"/>
      <c r="KBX46" s="987"/>
      <c r="KBY46" s="987"/>
      <c r="KBZ46" s="987"/>
      <c r="KCA46" s="987"/>
      <c r="KCB46" s="987"/>
      <c r="KCC46" s="987"/>
      <c r="KCD46" s="987"/>
      <c r="KCE46" s="987"/>
      <c r="KCF46" s="987"/>
      <c r="KCG46" s="987"/>
      <c r="KCH46" s="987"/>
      <c r="KCI46" s="987"/>
      <c r="KCJ46" s="987"/>
      <c r="KCK46" s="987"/>
      <c r="KCL46" s="987"/>
      <c r="KCM46" s="987"/>
      <c r="KCN46" s="987"/>
      <c r="KCO46" s="987"/>
      <c r="KCP46" s="987"/>
      <c r="KCQ46" s="987"/>
      <c r="KCR46" s="987"/>
      <c r="KCS46" s="987"/>
      <c r="KCT46" s="987"/>
      <c r="KCU46" s="987"/>
      <c r="KCV46" s="987"/>
      <c r="KCW46" s="987"/>
      <c r="KCX46" s="987"/>
      <c r="KCY46" s="987"/>
      <c r="KCZ46" s="987"/>
      <c r="KDA46" s="987"/>
      <c r="KDB46" s="987"/>
      <c r="KDC46" s="987"/>
      <c r="KDD46" s="987"/>
      <c r="KDE46" s="987"/>
      <c r="KDF46" s="987"/>
      <c r="KDG46" s="987"/>
      <c r="KDH46" s="987"/>
      <c r="KDI46" s="987"/>
      <c r="KDJ46" s="987"/>
      <c r="KDK46" s="987"/>
      <c r="KDL46" s="987"/>
      <c r="KDM46" s="987"/>
      <c r="KDN46" s="987"/>
      <c r="KDO46" s="987"/>
      <c r="KDP46" s="987"/>
      <c r="KDQ46" s="987"/>
      <c r="KDR46" s="987"/>
      <c r="KDS46" s="987"/>
      <c r="KDT46" s="987"/>
      <c r="KDU46" s="987"/>
      <c r="KDV46" s="987"/>
      <c r="KDW46" s="987"/>
      <c r="KDX46" s="987"/>
      <c r="KDY46" s="987"/>
      <c r="KDZ46" s="987"/>
      <c r="KEA46" s="987"/>
      <c r="KEB46" s="987"/>
      <c r="KEC46" s="987"/>
      <c r="KED46" s="987"/>
      <c r="KEE46" s="987"/>
      <c r="KEF46" s="987"/>
      <c r="KEG46" s="987"/>
      <c r="KEH46" s="987"/>
      <c r="KEI46" s="987"/>
      <c r="KEJ46" s="987"/>
      <c r="KEK46" s="987"/>
      <c r="KEL46" s="987"/>
      <c r="KEM46" s="987"/>
      <c r="KEN46" s="987"/>
      <c r="KEO46" s="987"/>
      <c r="KEP46" s="987"/>
      <c r="KEQ46" s="987"/>
      <c r="KER46" s="987"/>
      <c r="KES46" s="987"/>
      <c r="KET46" s="987"/>
      <c r="KEU46" s="987"/>
      <c r="KEV46" s="987"/>
      <c r="KEW46" s="987"/>
      <c r="KEX46" s="987"/>
      <c r="KEY46" s="987"/>
      <c r="KEZ46" s="987"/>
      <c r="KFA46" s="987"/>
      <c r="KFB46" s="987"/>
      <c r="KFC46" s="987"/>
      <c r="KFD46" s="987"/>
      <c r="KFE46" s="987"/>
      <c r="KFF46" s="987"/>
      <c r="KFG46" s="987"/>
      <c r="KFH46" s="987"/>
      <c r="KFI46" s="987"/>
      <c r="KFJ46" s="987"/>
      <c r="KFK46" s="987"/>
      <c r="KFL46" s="987"/>
      <c r="KFM46" s="987"/>
      <c r="KFN46" s="987"/>
      <c r="KFO46" s="987"/>
      <c r="KFP46" s="987"/>
      <c r="KFQ46" s="987"/>
      <c r="KFR46" s="987"/>
      <c r="KFS46" s="987"/>
      <c r="KFT46" s="987"/>
      <c r="KFU46" s="987"/>
      <c r="KFV46" s="987"/>
      <c r="KFW46" s="987"/>
      <c r="KFX46" s="987"/>
      <c r="KFY46" s="987"/>
      <c r="KFZ46" s="987"/>
      <c r="KGA46" s="987"/>
      <c r="KGB46" s="987"/>
      <c r="KGC46" s="987"/>
      <c r="KGD46" s="987"/>
      <c r="KGE46" s="987"/>
      <c r="KGF46" s="987"/>
      <c r="KGG46" s="987"/>
      <c r="KGH46" s="987"/>
      <c r="KGI46" s="987"/>
      <c r="KGJ46" s="987"/>
      <c r="KGK46" s="987"/>
      <c r="KGL46" s="987"/>
      <c r="KGM46" s="987"/>
      <c r="KGN46" s="987"/>
      <c r="KGO46" s="987"/>
      <c r="KGP46" s="987"/>
      <c r="KGQ46" s="987"/>
      <c r="KGR46" s="987"/>
      <c r="KGS46" s="987"/>
      <c r="KGT46" s="987"/>
      <c r="KGU46" s="987"/>
      <c r="KGV46" s="987"/>
      <c r="KGW46" s="987"/>
      <c r="KGX46" s="987"/>
      <c r="KGY46" s="987"/>
      <c r="KGZ46" s="987"/>
      <c r="KHA46" s="987"/>
      <c r="KHB46" s="987"/>
      <c r="KHC46" s="987"/>
      <c r="KHD46" s="987"/>
      <c r="KHE46" s="987"/>
      <c r="KHF46" s="987"/>
      <c r="KHG46" s="987"/>
      <c r="KHH46" s="987"/>
      <c r="KHI46" s="987"/>
      <c r="KHJ46" s="987"/>
      <c r="KHK46" s="987"/>
      <c r="KHL46" s="987"/>
      <c r="KHM46" s="987"/>
      <c r="KHN46" s="987"/>
      <c r="KHO46" s="987"/>
      <c r="KHP46" s="987"/>
      <c r="KHQ46" s="987"/>
      <c r="KHR46" s="987"/>
      <c r="KHS46" s="987"/>
      <c r="KHT46" s="987"/>
      <c r="KHU46" s="987"/>
      <c r="KHV46" s="987"/>
      <c r="KHW46" s="987"/>
      <c r="KHX46" s="987"/>
      <c r="KHY46" s="987"/>
      <c r="KHZ46" s="987"/>
      <c r="KIA46" s="987"/>
      <c r="KIB46" s="987"/>
      <c r="KIC46" s="987"/>
      <c r="KID46" s="987"/>
      <c r="KIE46" s="987"/>
      <c r="KIF46" s="987"/>
      <c r="KIG46" s="987"/>
      <c r="KIH46" s="987"/>
      <c r="KII46" s="987"/>
      <c r="KIJ46" s="987"/>
      <c r="KIK46" s="987"/>
      <c r="KIL46" s="987"/>
      <c r="KIM46" s="987"/>
      <c r="KIN46" s="987"/>
      <c r="KIO46" s="987"/>
      <c r="KIP46" s="987"/>
      <c r="KIQ46" s="987"/>
      <c r="KIR46" s="987"/>
      <c r="KIS46" s="987"/>
      <c r="KIT46" s="987"/>
      <c r="KIU46" s="987"/>
      <c r="KIV46" s="987"/>
      <c r="KIW46" s="987"/>
      <c r="KIX46" s="987"/>
      <c r="KIY46" s="987"/>
      <c r="KIZ46" s="987"/>
      <c r="KJA46" s="987"/>
      <c r="KJB46" s="987"/>
      <c r="KJC46" s="987"/>
      <c r="KJD46" s="987"/>
      <c r="KJE46" s="987"/>
      <c r="KJF46" s="987"/>
      <c r="KJG46" s="987"/>
      <c r="KJH46" s="987"/>
      <c r="KJI46" s="987"/>
      <c r="KJJ46" s="987"/>
      <c r="KJK46" s="987"/>
      <c r="KJL46" s="987"/>
      <c r="KJM46" s="987"/>
      <c r="KJN46" s="987"/>
      <c r="KJO46" s="987"/>
      <c r="KJP46" s="987"/>
      <c r="KJQ46" s="987"/>
      <c r="KJR46" s="987"/>
      <c r="KJS46" s="987"/>
      <c r="KJT46" s="987"/>
      <c r="KJU46" s="987"/>
      <c r="KJV46" s="987"/>
      <c r="KJW46" s="987"/>
      <c r="KJX46" s="987"/>
      <c r="KJY46" s="987"/>
      <c r="KJZ46" s="987"/>
      <c r="KKA46" s="987"/>
      <c r="KKB46" s="987"/>
      <c r="KKC46" s="987"/>
      <c r="KKD46" s="987"/>
      <c r="KKE46" s="987"/>
      <c r="KKF46" s="987"/>
      <c r="KKG46" s="987"/>
      <c r="KKH46" s="987"/>
      <c r="KKI46" s="987"/>
      <c r="KKJ46" s="987"/>
      <c r="KKK46" s="987"/>
      <c r="KKL46" s="987"/>
      <c r="KKM46" s="987"/>
      <c r="KKN46" s="987"/>
      <c r="KKO46" s="987"/>
      <c r="KKP46" s="987"/>
      <c r="KKQ46" s="987"/>
      <c r="KKR46" s="987"/>
      <c r="KKS46" s="987"/>
      <c r="KKT46" s="987"/>
      <c r="KKU46" s="987"/>
      <c r="KKV46" s="987"/>
      <c r="KKW46" s="987"/>
      <c r="KKX46" s="987"/>
      <c r="KKY46" s="987"/>
      <c r="KKZ46" s="987"/>
      <c r="KLA46" s="987"/>
      <c r="KLB46" s="987"/>
      <c r="KLC46" s="987"/>
      <c r="KLD46" s="987"/>
      <c r="KLE46" s="987"/>
      <c r="KLF46" s="987"/>
      <c r="KLG46" s="987"/>
      <c r="KLH46" s="987"/>
      <c r="KLI46" s="987"/>
      <c r="KLJ46" s="987"/>
      <c r="KLK46" s="987"/>
      <c r="KLL46" s="987"/>
      <c r="KLM46" s="987"/>
      <c r="KLN46" s="987"/>
      <c r="KLO46" s="987"/>
      <c r="KLP46" s="987"/>
      <c r="KLQ46" s="987"/>
      <c r="KLR46" s="987"/>
      <c r="KLS46" s="987"/>
      <c r="KLT46" s="987"/>
      <c r="KLU46" s="987"/>
      <c r="KLV46" s="987"/>
      <c r="KLW46" s="987"/>
      <c r="KLX46" s="987"/>
      <c r="KLY46" s="987"/>
      <c r="KLZ46" s="987"/>
      <c r="KMA46" s="987"/>
      <c r="KMB46" s="987"/>
      <c r="KMC46" s="987"/>
      <c r="KMD46" s="987"/>
      <c r="KME46" s="987"/>
      <c r="KMF46" s="987"/>
      <c r="KMG46" s="987"/>
      <c r="KMH46" s="987"/>
      <c r="KMI46" s="987"/>
      <c r="KMJ46" s="987"/>
      <c r="KMK46" s="987"/>
      <c r="KML46" s="987"/>
      <c r="KMM46" s="987"/>
      <c r="KMN46" s="987"/>
      <c r="KMO46" s="987"/>
      <c r="KMP46" s="987"/>
      <c r="KMQ46" s="987"/>
      <c r="KMR46" s="987"/>
      <c r="KMS46" s="987"/>
      <c r="KMT46" s="987"/>
      <c r="KMU46" s="987"/>
      <c r="KMV46" s="987"/>
      <c r="KMW46" s="987"/>
      <c r="KMX46" s="987"/>
      <c r="KMY46" s="987"/>
      <c r="KMZ46" s="987"/>
      <c r="KNA46" s="987"/>
      <c r="KNB46" s="987"/>
      <c r="KNC46" s="987"/>
      <c r="KND46" s="987"/>
      <c r="KNE46" s="987"/>
      <c r="KNF46" s="987"/>
      <c r="KNG46" s="987"/>
      <c r="KNH46" s="987"/>
      <c r="KNI46" s="987"/>
      <c r="KNJ46" s="987"/>
      <c r="KNK46" s="987"/>
      <c r="KNL46" s="987"/>
      <c r="KNM46" s="987"/>
      <c r="KNN46" s="987"/>
      <c r="KNO46" s="987"/>
      <c r="KNP46" s="987"/>
      <c r="KNQ46" s="987"/>
      <c r="KNR46" s="987"/>
      <c r="KNS46" s="987"/>
      <c r="KNT46" s="987"/>
      <c r="KNU46" s="987"/>
      <c r="KNV46" s="987"/>
      <c r="KNW46" s="987"/>
      <c r="KNX46" s="987"/>
      <c r="KNY46" s="987"/>
      <c r="KNZ46" s="987"/>
      <c r="KOA46" s="987"/>
      <c r="KOB46" s="987"/>
      <c r="KOC46" s="987"/>
      <c r="KOD46" s="987"/>
      <c r="KOE46" s="987"/>
      <c r="KOF46" s="987"/>
      <c r="KOG46" s="987"/>
      <c r="KOH46" s="987"/>
      <c r="KOI46" s="987"/>
      <c r="KOJ46" s="987"/>
      <c r="KOK46" s="987"/>
      <c r="KOL46" s="987"/>
      <c r="KOM46" s="987"/>
      <c r="KON46" s="987"/>
      <c r="KOO46" s="987"/>
      <c r="KOP46" s="987"/>
      <c r="KOQ46" s="987"/>
      <c r="KOR46" s="987"/>
      <c r="KOS46" s="987"/>
      <c r="KOT46" s="987"/>
      <c r="KOU46" s="987"/>
      <c r="KOV46" s="987"/>
      <c r="KOW46" s="987"/>
      <c r="KOX46" s="987"/>
      <c r="KOY46" s="987"/>
      <c r="KOZ46" s="987"/>
      <c r="KPA46" s="987"/>
      <c r="KPB46" s="987"/>
      <c r="KPC46" s="987"/>
      <c r="KPD46" s="987"/>
      <c r="KPE46" s="987"/>
      <c r="KPF46" s="987"/>
      <c r="KPG46" s="987"/>
      <c r="KPH46" s="987"/>
      <c r="KPI46" s="987"/>
      <c r="KPJ46" s="987"/>
      <c r="KPK46" s="987"/>
      <c r="KPL46" s="987"/>
      <c r="KPM46" s="987"/>
      <c r="KPN46" s="987"/>
      <c r="KPO46" s="987"/>
      <c r="KPP46" s="987"/>
      <c r="KPQ46" s="987"/>
      <c r="KPR46" s="987"/>
      <c r="KPS46" s="987"/>
      <c r="KPT46" s="987"/>
      <c r="KPU46" s="987"/>
      <c r="KPV46" s="987"/>
      <c r="KPW46" s="987"/>
      <c r="KPX46" s="987"/>
      <c r="KPY46" s="987"/>
      <c r="KPZ46" s="987"/>
      <c r="KQA46" s="987"/>
      <c r="KQB46" s="987"/>
      <c r="KQC46" s="987"/>
      <c r="KQD46" s="987"/>
      <c r="KQE46" s="987"/>
      <c r="KQF46" s="987"/>
      <c r="KQG46" s="987"/>
      <c r="KQH46" s="987"/>
      <c r="KQI46" s="987"/>
      <c r="KQJ46" s="987"/>
      <c r="KQK46" s="987"/>
      <c r="KQL46" s="987"/>
      <c r="KQM46" s="987"/>
      <c r="KQN46" s="987"/>
      <c r="KQO46" s="987"/>
      <c r="KQP46" s="987"/>
      <c r="KQQ46" s="987"/>
      <c r="KQR46" s="987"/>
      <c r="KQS46" s="987"/>
      <c r="KQT46" s="987"/>
      <c r="KQU46" s="987"/>
      <c r="KQV46" s="987"/>
      <c r="KQW46" s="987"/>
      <c r="KQX46" s="987"/>
      <c r="KQY46" s="987"/>
      <c r="KQZ46" s="987"/>
      <c r="KRA46" s="987"/>
      <c r="KRB46" s="987"/>
      <c r="KRC46" s="987"/>
      <c r="KRD46" s="987"/>
      <c r="KRE46" s="987"/>
      <c r="KRF46" s="987"/>
      <c r="KRG46" s="987"/>
      <c r="KRH46" s="987"/>
      <c r="KRI46" s="987"/>
      <c r="KRJ46" s="987"/>
      <c r="KRK46" s="987"/>
      <c r="KRL46" s="987"/>
      <c r="KRM46" s="987"/>
      <c r="KRN46" s="987"/>
      <c r="KRO46" s="987"/>
      <c r="KRP46" s="987"/>
      <c r="KRQ46" s="987"/>
      <c r="KRR46" s="987"/>
      <c r="KRS46" s="987"/>
      <c r="KRT46" s="987"/>
      <c r="KRU46" s="987"/>
      <c r="KRV46" s="987"/>
      <c r="KRW46" s="987"/>
      <c r="KRX46" s="987"/>
      <c r="KRY46" s="987"/>
      <c r="KRZ46" s="987"/>
      <c r="KSA46" s="987"/>
      <c r="KSB46" s="987"/>
      <c r="KSC46" s="987"/>
      <c r="KSD46" s="987"/>
      <c r="KSE46" s="987"/>
      <c r="KSF46" s="987"/>
      <c r="KSG46" s="987"/>
      <c r="KSH46" s="987"/>
      <c r="KSI46" s="987"/>
      <c r="KSJ46" s="987"/>
      <c r="KSK46" s="987"/>
      <c r="KSL46" s="987"/>
      <c r="KSM46" s="987"/>
      <c r="KSN46" s="987"/>
      <c r="KSO46" s="987"/>
      <c r="KSP46" s="987"/>
      <c r="KSQ46" s="987"/>
      <c r="KSR46" s="987"/>
      <c r="KSS46" s="987"/>
      <c r="KST46" s="987"/>
      <c r="KSU46" s="987"/>
      <c r="KSV46" s="987"/>
      <c r="KSW46" s="987"/>
      <c r="KSX46" s="987"/>
      <c r="KSY46" s="987"/>
      <c r="KSZ46" s="987"/>
      <c r="KTA46" s="987"/>
      <c r="KTB46" s="987"/>
      <c r="KTC46" s="987"/>
      <c r="KTD46" s="987"/>
      <c r="KTE46" s="987"/>
      <c r="KTF46" s="987"/>
      <c r="KTG46" s="987"/>
      <c r="KTH46" s="987"/>
      <c r="KTI46" s="987"/>
      <c r="KTJ46" s="987"/>
      <c r="KTK46" s="987"/>
      <c r="KTL46" s="987"/>
      <c r="KTM46" s="987"/>
      <c r="KTN46" s="987"/>
      <c r="KTO46" s="987"/>
      <c r="KTP46" s="987"/>
      <c r="KTQ46" s="987"/>
      <c r="KTR46" s="987"/>
      <c r="KTS46" s="987"/>
      <c r="KTT46" s="987"/>
      <c r="KTU46" s="987"/>
      <c r="KTV46" s="987"/>
      <c r="KTW46" s="987"/>
      <c r="KTX46" s="987"/>
      <c r="KTY46" s="987"/>
      <c r="KTZ46" s="987"/>
      <c r="KUA46" s="987"/>
      <c r="KUB46" s="987"/>
      <c r="KUC46" s="987"/>
      <c r="KUD46" s="987"/>
      <c r="KUE46" s="987"/>
      <c r="KUF46" s="987"/>
      <c r="KUG46" s="987"/>
      <c r="KUH46" s="987"/>
      <c r="KUI46" s="987"/>
      <c r="KUJ46" s="987"/>
      <c r="KUK46" s="987"/>
      <c r="KUL46" s="987"/>
      <c r="KUM46" s="987"/>
      <c r="KUN46" s="987"/>
      <c r="KUO46" s="987"/>
      <c r="KUP46" s="987"/>
      <c r="KUQ46" s="987"/>
      <c r="KUR46" s="987"/>
      <c r="KUS46" s="987"/>
      <c r="KUT46" s="987"/>
      <c r="KUU46" s="987"/>
      <c r="KUV46" s="987"/>
      <c r="KUW46" s="987"/>
      <c r="KUX46" s="987"/>
      <c r="KUY46" s="987"/>
      <c r="KUZ46" s="987"/>
      <c r="KVA46" s="987"/>
      <c r="KVB46" s="987"/>
      <c r="KVC46" s="987"/>
      <c r="KVD46" s="987"/>
      <c r="KVE46" s="987"/>
      <c r="KVF46" s="987"/>
      <c r="KVG46" s="987"/>
      <c r="KVH46" s="987"/>
      <c r="KVI46" s="987"/>
      <c r="KVJ46" s="987"/>
      <c r="KVK46" s="987"/>
      <c r="KVL46" s="987"/>
      <c r="KVM46" s="987"/>
      <c r="KVN46" s="987"/>
      <c r="KVO46" s="987"/>
      <c r="KVP46" s="987"/>
      <c r="KVQ46" s="987"/>
      <c r="KVR46" s="987"/>
      <c r="KVS46" s="987"/>
      <c r="KVT46" s="987"/>
      <c r="KVU46" s="987"/>
      <c r="KVV46" s="987"/>
      <c r="KVW46" s="987"/>
      <c r="KVX46" s="987"/>
      <c r="KVY46" s="987"/>
      <c r="KVZ46" s="987"/>
      <c r="KWA46" s="987"/>
      <c r="KWB46" s="987"/>
      <c r="KWC46" s="987"/>
      <c r="KWD46" s="987"/>
      <c r="KWE46" s="987"/>
      <c r="KWF46" s="987"/>
      <c r="KWG46" s="987"/>
      <c r="KWH46" s="987"/>
      <c r="KWI46" s="987"/>
      <c r="KWJ46" s="987"/>
      <c r="KWK46" s="987"/>
      <c r="KWL46" s="987"/>
      <c r="KWM46" s="987"/>
      <c r="KWN46" s="987"/>
      <c r="KWO46" s="987"/>
      <c r="KWP46" s="987"/>
      <c r="KWQ46" s="987"/>
      <c r="KWR46" s="987"/>
      <c r="KWS46" s="987"/>
      <c r="KWT46" s="987"/>
      <c r="KWU46" s="987"/>
      <c r="KWV46" s="987"/>
      <c r="KWW46" s="987"/>
      <c r="KWX46" s="987"/>
      <c r="KWY46" s="987"/>
      <c r="KWZ46" s="987"/>
      <c r="KXA46" s="987"/>
      <c r="KXB46" s="987"/>
      <c r="KXC46" s="987"/>
      <c r="KXD46" s="987"/>
      <c r="KXE46" s="987"/>
      <c r="KXF46" s="987"/>
      <c r="KXG46" s="987"/>
      <c r="KXH46" s="987"/>
      <c r="KXI46" s="987"/>
      <c r="KXJ46" s="987"/>
      <c r="KXK46" s="987"/>
      <c r="KXL46" s="987"/>
      <c r="KXM46" s="987"/>
      <c r="KXN46" s="987"/>
      <c r="KXO46" s="987"/>
      <c r="KXP46" s="987"/>
      <c r="KXQ46" s="987"/>
      <c r="KXR46" s="987"/>
      <c r="KXS46" s="987"/>
      <c r="KXT46" s="987"/>
      <c r="KXU46" s="987"/>
      <c r="KXV46" s="987"/>
      <c r="KXW46" s="987"/>
      <c r="KXX46" s="987"/>
      <c r="KXY46" s="987"/>
      <c r="KXZ46" s="987"/>
      <c r="KYA46" s="987"/>
      <c r="KYB46" s="987"/>
      <c r="KYC46" s="987"/>
      <c r="KYD46" s="987"/>
      <c r="KYE46" s="987"/>
      <c r="KYF46" s="987"/>
      <c r="KYG46" s="987"/>
      <c r="KYH46" s="987"/>
      <c r="KYI46" s="987"/>
      <c r="KYJ46" s="987"/>
      <c r="KYK46" s="987"/>
      <c r="KYL46" s="987"/>
      <c r="KYM46" s="987"/>
      <c r="KYN46" s="987"/>
      <c r="KYO46" s="987"/>
      <c r="KYP46" s="987"/>
      <c r="KYQ46" s="987"/>
      <c r="KYR46" s="987"/>
      <c r="KYS46" s="987"/>
      <c r="KYT46" s="987"/>
      <c r="KYU46" s="987"/>
      <c r="KYV46" s="987"/>
      <c r="KYW46" s="987"/>
      <c r="KYX46" s="987"/>
      <c r="KYY46" s="987"/>
      <c r="KYZ46" s="987"/>
      <c r="KZA46" s="987"/>
      <c r="KZB46" s="987"/>
      <c r="KZC46" s="987"/>
      <c r="KZD46" s="987"/>
      <c r="KZE46" s="987"/>
      <c r="KZF46" s="987"/>
      <c r="KZG46" s="987"/>
      <c r="KZH46" s="987"/>
      <c r="KZI46" s="987"/>
      <c r="KZJ46" s="987"/>
      <c r="KZK46" s="987"/>
      <c r="KZL46" s="987"/>
      <c r="KZM46" s="987"/>
      <c r="KZN46" s="987"/>
      <c r="KZO46" s="987"/>
      <c r="KZP46" s="987"/>
      <c r="KZQ46" s="987"/>
      <c r="KZR46" s="987"/>
      <c r="KZS46" s="987"/>
      <c r="KZT46" s="987"/>
      <c r="KZU46" s="987"/>
      <c r="KZV46" s="987"/>
      <c r="KZW46" s="987"/>
      <c r="KZX46" s="987"/>
      <c r="KZY46" s="987"/>
      <c r="KZZ46" s="987"/>
      <c r="LAA46" s="987"/>
      <c r="LAB46" s="987"/>
      <c r="LAC46" s="987"/>
      <c r="LAD46" s="987"/>
      <c r="LAE46" s="987"/>
      <c r="LAF46" s="987"/>
      <c r="LAG46" s="987"/>
      <c r="LAH46" s="987"/>
      <c r="LAI46" s="987"/>
      <c r="LAJ46" s="987"/>
      <c r="LAK46" s="987"/>
      <c r="LAL46" s="987"/>
      <c r="LAM46" s="987"/>
      <c r="LAN46" s="987"/>
      <c r="LAO46" s="987"/>
      <c r="LAP46" s="987"/>
      <c r="LAQ46" s="987"/>
      <c r="LAR46" s="987"/>
      <c r="LAS46" s="987"/>
      <c r="LAT46" s="987"/>
      <c r="LAU46" s="987"/>
      <c r="LAV46" s="987"/>
      <c r="LAW46" s="987"/>
      <c r="LAX46" s="987"/>
      <c r="LAY46" s="987"/>
      <c r="LAZ46" s="987"/>
      <c r="LBA46" s="987"/>
      <c r="LBB46" s="987"/>
      <c r="LBC46" s="987"/>
      <c r="LBD46" s="987"/>
      <c r="LBE46" s="987"/>
      <c r="LBF46" s="987"/>
      <c r="LBG46" s="987"/>
      <c r="LBH46" s="987"/>
      <c r="LBI46" s="987"/>
      <c r="LBJ46" s="987"/>
      <c r="LBK46" s="987"/>
      <c r="LBL46" s="987"/>
      <c r="LBM46" s="987"/>
      <c r="LBN46" s="987"/>
      <c r="LBO46" s="987"/>
      <c r="LBP46" s="987"/>
      <c r="LBQ46" s="987"/>
      <c r="LBR46" s="987"/>
      <c r="LBS46" s="987"/>
      <c r="LBT46" s="987"/>
      <c r="LBU46" s="987"/>
      <c r="LBV46" s="987"/>
      <c r="LBW46" s="987"/>
      <c r="LBX46" s="987"/>
      <c r="LBY46" s="987"/>
      <c r="LBZ46" s="987"/>
      <c r="LCA46" s="987"/>
      <c r="LCB46" s="987"/>
      <c r="LCC46" s="987"/>
      <c r="LCD46" s="987"/>
      <c r="LCE46" s="987"/>
      <c r="LCF46" s="987"/>
      <c r="LCG46" s="987"/>
      <c r="LCH46" s="987"/>
      <c r="LCI46" s="987"/>
      <c r="LCJ46" s="987"/>
      <c r="LCK46" s="987"/>
      <c r="LCL46" s="987"/>
      <c r="LCM46" s="987"/>
      <c r="LCN46" s="987"/>
      <c r="LCO46" s="987"/>
      <c r="LCP46" s="987"/>
      <c r="LCQ46" s="987"/>
      <c r="LCR46" s="987"/>
      <c r="LCS46" s="987"/>
      <c r="LCT46" s="987"/>
      <c r="LCU46" s="987"/>
      <c r="LCV46" s="987"/>
      <c r="LCW46" s="987"/>
      <c r="LCX46" s="987"/>
      <c r="LCY46" s="987"/>
      <c r="LCZ46" s="987"/>
      <c r="LDA46" s="987"/>
      <c r="LDB46" s="987"/>
      <c r="LDC46" s="987"/>
      <c r="LDD46" s="987"/>
      <c r="LDE46" s="987"/>
      <c r="LDF46" s="987"/>
      <c r="LDG46" s="987"/>
      <c r="LDH46" s="987"/>
      <c r="LDI46" s="987"/>
      <c r="LDJ46" s="987"/>
      <c r="LDK46" s="987"/>
      <c r="LDL46" s="987"/>
      <c r="LDM46" s="987"/>
      <c r="LDN46" s="987"/>
      <c r="LDO46" s="987"/>
      <c r="LDP46" s="987"/>
      <c r="LDQ46" s="987"/>
      <c r="LDR46" s="987"/>
      <c r="LDS46" s="987"/>
      <c r="LDT46" s="987"/>
      <c r="LDU46" s="987"/>
      <c r="LDV46" s="987"/>
      <c r="LDW46" s="987"/>
      <c r="LDX46" s="987"/>
      <c r="LDY46" s="987"/>
      <c r="LDZ46" s="987"/>
      <c r="LEA46" s="987"/>
      <c r="LEB46" s="987"/>
      <c r="LEC46" s="987"/>
      <c r="LED46" s="987"/>
      <c r="LEE46" s="987"/>
      <c r="LEF46" s="987"/>
      <c r="LEG46" s="987"/>
      <c r="LEH46" s="987"/>
      <c r="LEI46" s="987"/>
      <c r="LEJ46" s="987"/>
      <c r="LEK46" s="987"/>
      <c r="LEL46" s="987"/>
      <c r="LEM46" s="987"/>
      <c r="LEN46" s="987"/>
      <c r="LEO46" s="987"/>
      <c r="LEP46" s="987"/>
      <c r="LEQ46" s="987"/>
      <c r="LER46" s="987"/>
      <c r="LES46" s="987"/>
      <c r="LET46" s="987"/>
      <c r="LEU46" s="987"/>
      <c r="LEV46" s="987"/>
      <c r="LEW46" s="987"/>
      <c r="LEX46" s="987"/>
      <c r="LEY46" s="987"/>
      <c r="LEZ46" s="987"/>
      <c r="LFA46" s="987"/>
      <c r="LFB46" s="987"/>
      <c r="LFC46" s="987"/>
      <c r="LFD46" s="987"/>
      <c r="LFE46" s="987"/>
      <c r="LFF46" s="987"/>
      <c r="LFG46" s="987"/>
      <c r="LFH46" s="987"/>
      <c r="LFI46" s="987"/>
      <c r="LFJ46" s="987"/>
      <c r="LFK46" s="987"/>
      <c r="LFL46" s="987"/>
      <c r="LFM46" s="987"/>
      <c r="LFN46" s="987"/>
      <c r="LFO46" s="987"/>
      <c r="LFP46" s="987"/>
      <c r="LFQ46" s="987"/>
      <c r="LFR46" s="987"/>
      <c r="LFS46" s="987"/>
      <c r="LFT46" s="987"/>
      <c r="LFU46" s="987"/>
      <c r="LFV46" s="987"/>
      <c r="LFW46" s="987"/>
      <c r="LFX46" s="987"/>
      <c r="LFY46" s="987"/>
      <c r="LFZ46" s="987"/>
      <c r="LGA46" s="987"/>
      <c r="LGB46" s="987"/>
      <c r="LGC46" s="987"/>
      <c r="LGD46" s="987"/>
      <c r="LGE46" s="987"/>
      <c r="LGF46" s="987"/>
      <c r="LGG46" s="987"/>
      <c r="LGH46" s="987"/>
      <c r="LGI46" s="987"/>
      <c r="LGJ46" s="987"/>
      <c r="LGK46" s="987"/>
      <c r="LGL46" s="987"/>
      <c r="LGM46" s="987"/>
      <c r="LGN46" s="987"/>
      <c r="LGO46" s="987"/>
      <c r="LGP46" s="987"/>
      <c r="LGQ46" s="987"/>
      <c r="LGR46" s="987"/>
      <c r="LGS46" s="987"/>
      <c r="LGT46" s="987"/>
      <c r="LGU46" s="987"/>
      <c r="LGV46" s="987"/>
      <c r="LGW46" s="987"/>
      <c r="LGX46" s="987"/>
      <c r="LGY46" s="987"/>
      <c r="LGZ46" s="987"/>
      <c r="LHA46" s="987"/>
      <c r="LHB46" s="987"/>
      <c r="LHC46" s="987"/>
      <c r="LHD46" s="987"/>
      <c r="LHE46" s="987"/>
      <c r="LHF46" s="987"/>
      <c r="LHG46" s="987"/>
      <c r="LHH46" s="987"/>
      <c r="LHI46" s="987"/>
      <c r="LHJ46" s="987"/>
      <c r="LHK46" s="987"/>
      <c r="LHL46" s="987"/>
      <c r="LHM46" s="987"/>
      <c r="LHN46" s="987"/>
      <c r="LHO46" s="987"/>
      <c r="LHP46" s="987"/>
      <c r="LHQ46" s="987"/>
      <c r="LHR46" s="987"/>
      <c r="LHS46" s="987"/>
      <c r="LHT46" s="987"/>
      <c r="LHU46" s="987"/>
      <c r="LHV46" s="987"/>
      <c r="LHW46" s="987"/>
      <c r="LHX46" s="987"/>
      <c r="LHY46" s="987"/>
      <c r="LHZ46" s="987"/>
      <c r="LIA46" s="987"/>
      <c r="LIB46" s="987"/>
      <c r="LIC46" s="987"/>
      <c r="LID46" s="987"/>
      <c r="LIE46" s="987"/>
      <c r="LIF46" s="987"/>
      <c r="LIG46" s="987"/>
      <c r="LIH46" s="987"/>
      <c r="LII46" s="987"/>
      <c r="LIJ46" s="987"/>
      <c r="LIK46" s="987"/>
      <c r="LIL46" s="987"/>
      <c r="LIM46" s="987"/>
      <c r="LIN46" s="987"/>
      <c r="LIO46" s="987"/>
      <c r="LIP46" s="987"/>
      <c r="LIQ46" s="987"/>
      <c r="LIR46" s="987"/>
      <c r="LIS46" s="987"/>
      <c r="LIT46" s="987"/>
      <c r="LIU46" s="987"/>
      <c r="LIV46" s="987"/>
      <c r="LIW46" s="987"/>
      <c r="LIX46" s="987"/>
      <c r="LIY46" s="987"/>
      <c r="LIZ46" s="987"/>
      <c r="LJA46" s="987"/>
      <c r="LJB46" s="987"/>
      <c r="LJC46" s="987"/>
      <c r="LJD46" s="987"/>
      <c r="LJE46" s="987"/>
      <c r="LJF46" s="987"/>
      <c r="LJG46" s="987"/>
      <c r="LJH46" s="987"/>
      <c r="LJI46" s="987"/>
      <c r="LJJ46" s="987"/>
      <c r="LJK46" s="987"/>
      <c r="LJL46" s="987"/>
      <c r="LJM46" s="987"/>
      <c r="LJN46" s="987"/>
      <c r="LJO46" s="987"/>
      <c r="LJP46" s="987"/>
      <c r="LJQ46" s="987"/>
      <c r="LJR46" s="987"/>
      <c r="LJS46" s="987"/>
      <c r="LJT46" s="987"/>
      <c r="LJU46" s="987"/>
      <c r="LJV46" s="987"/>
      <c r="LJW46" s="987"/>
      <c r="LJX46" s="987"/>
      <c r="LJY46" s="987"/>
      <c r="LJZ46" s="987"/>
      <c r="LKA46" s="987"/>
      <c r="LKB46" s="987"/>
      <c r="LKC46" s="987"/>
      <c r="LKD46" s="987"/>
      <c r="LKE46" s="987"/>
      <c r="LKF46" s="987"/>
      <c r="LKG46" s="987"/>
      <c r="LKH46" s="987"/>
      <c r="LKI46" s="987"/>
      <c r="LKJ46" s="987"/>
      <c r="LKK46" s="987"/>
      <c r="LKL46" s="987"/>
      <c r="LKM46" s="987"/>
      <c r="LKN46" s="987"/>
      <c r="LKO46" s="987"/>
      <c r="LKP46" s="987"/>
      <c r="LKQ46" s="987"/>
      <c r="LKR46" s="987"/>
      <c r="LKS46" s="987"/>
      <c r="LKT46" s="987"/>
      <c r="LKU46" s="987"/>
      <c r="LKV46" s="987"/>
      <c r="LKW46" s="987"/>
      <c r="LKX46" s="987"/>
      <c r="LKY46" s="987"/>
      <c r="LKZ46" s="987"/>
      <c r="LLA46" s="987"/>
      <c r="LLB46" s="987"/>
      <c r="LLC46" s="987"/>
      <c r="LLD46" s="987"/>
      <c r="LLE46" s="987"/>
      <c r="LLF46" s="987"/>
      <c r="LLG46" s="987"/>
      <c r="LLH46" s="987"/>
      <c r="LLI46" s="987"/>
      <c r="LLJ46" s="987"/>
      <c r="LLK46" s="987"/>
      <c r="LLL46" s="987"/>
      <c r="LLM46" s="987"/>
      <c r="LLN46" s="987"/>
      <c r="LLO46" s="987"/>
      <c r="LLP46" s="987"/>
      <c r="LLQ46" s="987"/>
      <c r="LLR46" s="987"/>
      <c r="LLS46" s="987"/>
      <c r="LLT46" s="987"/>
      <c r="LLU46" s="987"/>
      <c r="LLV46" s="987"/>
      <c r="LLW46" s="987"/>
      <c r="LLX46" s="987"/>
      <c r="LLY46" s="987"/>
      <c r="LLZ46" s="987"/>
      <c r="LMA46" s="987"/>
      <c r="LMB46" s="987"/>
      <c r="LMC46" s="987"/>
      <c r="LMD46" s="987"/>
      <c r="LME46" s="987"/>
      <c r="LMF46" s="987"/>
      <c r="LMG46" s="987"/>
      <c r="LMH46" s="987"/>
      <c r="LMI46" s="987"/>
      <c r="LMJ46" s="987"/>
      <c r="LMK46" s="987"/>
      <c r="LML46" s="987"/>
      <c r="LMM46" s="987"/>
      <c r="LMN46" s="987"/>
      <c r="LMO46" s="987"/>
      <c r="LMP46" s="987"/>
      <c r="LMQ46" s="987"/>
      <c r="LMR46" s="987"/>
      <c r="LMS46" s="987"/>
      <c r="LMT46" s="987"/>
      <c r="LMU46" s="987"/>
      <c r="LMV46" s="987"/>
      <c r="LMW46" s="987"/>
      <c r="LMX46" s="987"/>
      <c r="LMY46" s="987"/>
      <c r="LMZ46" s="987"/>
      <c r="LNA46" s="987"/>
      <c r="LNB46" s="987"/>
      <c r="LNC46" s="987"/>
      <c r="LND46" s="987"/>
      <c r="LNE46" s="987"/>
      <c r="LNF46" s="987"/>
      <c r="LNG46" s="987"/>
      <c r="LNH46" s="987"/>
      <c r="LNI46" s="987"/>
      <c r="LNJ46" s="987"/>
      <c r="LNK46" s="987"/>
      <c r="LNL46" s="987"/>
      <c r="LNM46" s="987"/>
      <c r="LNN46" s="987"/>
      <c r="LNO46" s="987"/>
      <c r="LNP46" s="987"/>
      <c r="LNQ46" s="987"/>
      <c r="LNR46" s="987"/>
      <c r="LNS46" s="987"/>
      <c r="LNT46" s="987"/>
      <c r="LNU46" s="987"/>
      <c r="LNV46" s="987"/>
      <c r="LNW46" s="987"/>
      <c r="LNX46" s="987"/>
      <c r="LNY46" s="987"/>
      <c r="LNZ46" s="987"/>
      <c r="LOA46" s="987"/>
      <c r="LOB46" s="987"/>
      <c r="LOC46" s="987"/>
      <c r="LOD46" s="987"/>
      <c r="LOE46" s="987"/>
      <c r="LOF46" s="987"/>
      <c r="LOG46" s="987"/>
      <c r="LOH46" s="987"/>
      <c r="LOI46" s="987"/>
      <c r="LOJ46" s="987"/>
      <c r="LOK46" s="987"/>
      <c r="LOL46" s="987"/>
      <c r="LOM46" s="987"/>
      <c r="LON46" s="987"/>
      <c r="LOO46" s="987"/>
      <c r="LOP46" s="987"/>
      <c r="LOQ46" s="987"/>
      <c r="LOR46" s="987"/>
      <c r="LOS46" s="987"/>
      <c r="LOT46" s="987"/>
      <c r="LOU46" s="987"/>
      <c r="LOV46" s="987"/>
      <c r="LOW46" s="987"/>
      <c r="LOX46" s="987"/>
      <c r="LOY46" s="987"/>
      <c r="LOZ46" s="987"/>
      <c r="LPA46" s="987"/>
      <c r="LPB46" s="987"/>
      <c r="LPC46" s="987"/>
      <c r="LPD46" s="987"/>
      <c r="LPE46" s="987"/>
      <c r="LPF46" s="987"/>
      <c r="LPG46" s="987"/>
      <c r="LPH46" s="987"/>
      <c r="LPI46" s="987"/>
      <c r="LPJ46" s="987"/>
      <c r="LPK46" s="987"/>
      <c r="LPL46" s="987"/>
      <c r="LPM46" s="987"/>
      <c r="LPN46" s="987"/>
      <c r="LPO46" s="987"/>
      <c r="LPP46" s="987"/>
      <c r="LPQ46" s="987"/>
      <c r="LPR46" s="987"/>
      <c r="LPS46" s="987"/>
      <c r="LPT46" s="987"/>
      <c r="LPU46" s="987"/>
      <c r="LPV46" s="987"/>
      <c r="LPW46" s="987"/>
      <c r="LPX46" s="987"/>
      <c r="LPY46" s="987"/>
      <c r="LPZ46" s="987"/>
      <c r="LQA46" s="987"/>
      <c r="LQB46" s="987"/>
      <c r="LQC46" s="987"/>
      <c r="LQD46" s="987"/>
      <c r="LQE46" s="987"/>
      <c r="LQF46" s="987"/>
      <c r="LQG46" s="987"/>
      <c r="LQH46" s="987"/>
      <c r="LQI46" s="987"/>
      <c r="LQJ46" s="987"/>
      <c r="LQK46" s="987"/>
      <c r="LQL46" s="987"/>
      <c r="LQM46" s="987"/>
      <c r="LQN46" s="987"/>
      <c r="LQO46" s="987"/>
      <c r="LQP46" s="987"/>
      <c r="LQQ46" s="987"/>
      <c r="LQR46" s="987"/>
      <c r="LQS46" s="987"/>
      <c r="LQT46" s="987"/>
      <c r="LQU46" s="987"/>
      <c r="LQV46" s="987"/>
      <c r="LQW46" s="987"/>
      <c r="LQX46" s="987"/>
      <c r="LQY46" s="987"/>
      <c r="LQZ46" s="987"/>
      <c r="LRA46" s="987"/>
      <c r="LRB46" s="987"/>
      <c r="LRC46" s="987"/>
      <c r="LRD46" s="987"/>
      <c r="LRE46" s="987"/>
      <c r="LRF46" s="987"/>
      <c r="LRG46" s="987"/>
      <c r="LRH46" s="987"/>
      <c r="LRI46" s="987"/>
      <c r="LRJ46" s="987"/>
      <c r="LRK46" s="987"/>
      <c r="LRL46" s="987"/>
      <c r="LRM46" s="987"/>
      <c r="LRN46" s="987"/>
      <c r="LRO46" s="987"/>
      <c r="LRP46" s="987"/>
      <c r="LRQ46" s="987"/>
      <c r="LRR46" s="987"/>
      <c r="LRS46" s="987"/>
      <c r="LRT46" s="987"/>
      <c r="LRU46" s="987"/>
      <c r="LRV46" s="987"/>
      <c r="LRW46" s="987"/>
      <c r="LRX46" s="987"/>
      <c r="LRY46" s="987"/>
      <c r="LRZ46" s="987"/>
      <c r="LSA46" s="987"/>
      <c r="LSB46" s="987"/>
      <c r="LSC46" s="987"/>
      <c r="LSD46" s="987"/>
      <c r="LSE46" s="987"/>
      <c r="LSF46" s="987"/>
      <c r="LSG46" s="987"/>
      <c r="LSH46" s="987"/>
      <c r="LSI46" s="987"/>
      <c r="LSJ46" s="987"/>
      <c r="LSK46" s="987"/>
      <c r="LSL46" s="987"/>
      <c r="LSM46" s="987"/>
      <c r="LSN46" s="987"/>
      <c r="LSO46" s="987"/>
      <c r="LSP46" s="987"/>
      <c r="LSQ46" s="987"/>
      <c r="LSR46" s="987"/>
      <c r="LSS46" s="987"/>
      <c r="LST46" s="987"/>
      <c r="LSU46" s="987"/>
      <c r="LSV46" s="987"/>
      <c r="LSW46" s="987"/>
      <c r="LSX46" s="987"/>
      <c r="LSY46" s="987"/>
      <c r="LSZ46" s="987"/>
      <c r="LTA46" s="987"/>
      <c r="LTB46" s="987"/>
      <c r="LTC46" s="987"/>
      <c r="LTD46" s="987"/>
      <c r="LTE46" s="987"/>
      <c r="LTF46" s="987"/>
      <c r="LTG46" s="987"/>
      <c r="LTH46" s="987"/>
      <c r="LTI46" s="987"/>
      <c r="LTJ46" s="987"/>
      <c r="LTK46" s="987"/>
      <c r="LTL46" s="987"/>
      <c r="LTM46" s="987"/>
      <c r="LTN46" s="987"/>
      <c r="LTO46" s="987"/>
      <c r="LTP46" s="987"/>
      <c r="LTQ46" s="987"/>
      <c r="LTR46" s="987"/>
      <c r="LTS46" s="987"/>
      <c r="LTT46" s="987"/>
      <c r="LTU46" s="987"/>
      <c r="LTV46" s="987"/>
      <c r="LTW46" s="987"/>
      <c r="LTX46" s="987"/>
      <c r="LTY46" s="987"/>
      <c r="LTZ46" s="987"/>
      <c r="LUA46" s="987"/>
      <c r="LUB46" s="987"/>
      <c r="LUC46" s="987"/>
      <c r="LUD46" s="987"/>
      <c r="LUE46" s="987"/>
      <c r="LUF46" s="987"/>
      <c r="LUG46" s="987"/>
      <c r="LUH46" s="987"/>
      <c r="LUI46" s="987"/>
      <c r="LUJ46" s="987"/>
      <c r="LUK46" s="987"/>
      <c r="LUL46" s="987"/>
      <c r="LUM46" s="987"/>
      <c r="LUN46" s="987"/>
      <c r="LUO46" s="987"/>
      <c r="LUP46" s="987"/>
      <c r="LUQ46" s="987"/>
      <c r="LUR46" s="987"/>
      <c r="LUS46" s="987"/>
      <c r="LUT46" s="987"/>
      <c r="LUU46" s="987"/>
      <c r="LUV46" s="987"/>
      <c r="LUW46" s="987"/>
      <c r="LUX46" s="987"/>
      <c r="LUY46" s="987"/>
      <c r="LUZ46" s="987"/>
      <c r="LVA46" s="987"/>
      <c r="LVB46" s="987"/>
      <c r="LVC46" s="987"/>
      <c r="LVD46" s="987"/>
      <c r="LVE46" s="987"/>
      <c r="LVF46" s="987"/>
      <c r="LVG46" s="987"/>
      <c r="LVH46" s="987"/>
      <c r="LVI46" s="987"/>
      <c r="LVJ46" s="987"/>
      <c r="LVK46" s="987"/>
      <c r="LVL46" s="987"/>
      <c r="LVM46" s="987"/>
      <c r="LVN46" s="987"/>
      <c r="LVO46" s="987"/>
      <c r="LVP46" s="987"/>
      <c r="LVQ46" s="987"/>
      <c r="LVR46" s="987"/>
      <c r="LVS46" s="987"/>
      <c r="LVT46" s="987"/>
      <c r="LVU46" s="987"/>
      <c r="LVV46" s="987"/>
      <c r="LVW46" s="987"/>
      <c r="LVX46" s="987"/>
      <c r="LVY46" s="987"/>
      <c r="LVZ46" s="987"/>
      <c r="LWA46" s="987"/>
      <c r="LWB46" s="987"/>
      <c r="LWC46" s="987"/>
      <c r="LWD46" s="987"/>
      <c r="LWE46" s="987"/>
      <c r="LWF46" s="987"/>
      <c r="LWG46" s="987"/>
      <c r="LWH46" s="987"/>
      <c r="LWI46" s="987"/>
      <c r="LWJ46" s="987"/>
      <c r="LWK46" s="987"/>
      <c r="LWL46" s="987"/>
      <c r="LWM46" s="987"/>
      <c r="LWN46" s="987"/>
      <c r="LWO46" s="987"/>
      <c r="LWP46" s="987"/>
      <c r="LWQ46" s="987"/>
      <c r="LWR46" s="987"/>
      <c r="LWS46" s="987"/>
      <c r="LWT46" s="987"/>
      <c r="LWU46" s="987"/>
      <c r="LWV46" s="987"/>
      <c r="LWW46" s="987"/>
      <c r="LWX46" s="987"/>
      <c r="LWY46" s="987"/>
      <c r="LWZ46" s="987"/>
      <c r="LXA46" s="987"/>
      <c r="LXB46" s="987"/>
      <c r="LXC46" s="987"/>
      <c r="LXD46" s="987"/>
      <c r="LXE46" s="987"/>
      <c r="LXF46" s="987"/>
      <c r="LXG46" s="987"/>
      <c r="LXH46" s="987"/>
      <c r="LXI46" s="987"/>
      <c r="LXJ46" s="987"/>
      <c r="LXK46" s="987"/>
      <c r="LXL46" s="987"/>
      <c r="LXM46" s="987"/>
      <c r="LXN46" s="987"/>
      <c r="LXO46" s="987"/>
      <c r="LXP46" s="987"/>
      <c r="LXQ46" s="987"/>
      <c r="LXR46" s="987"/>
      <c r="LXS46" s="987"/>
      <c r="LXT46" s="987"/>
      <c r="LXU46" s="987"/>
      <c r="LXV46" s="987"/>
      <c r="LXW46" s="987"/>
      <c r="LXX46" s="987"/>
      <c r="LXY46" s="987"/>
      <c r="LXZ46" s="987"/>
      <c r="LYA46" s="987"/>
      <c r="LYB46" s="987"/>
      <c r="LYC46" s="987"/>
      <c r="LYD46" s="987"/>
      <c r="LYE46" s="987"/>
      <c r="LYF46" s="987"/>
      <c r="LYG46" s="987"/>
      <c r="LYH46" s="987"/>
      <c r="LYI46" s="987"/>
      <c r="LYJ46" s="987"/>
      <c r="LYK46" s="987"/>
      <c r="LYL46" s="987"/>
      <c r="LYM46" s="987"/>
      <c r="LYN46" s="987"/>
      <c r="LYO46" s="987"/>
      <c r="LYP46" s="987"/>
      <c r="LYQ46" s="987"/>
      <c r="LYR46" s="987"/>
      <c r="LYS46" s="987"/>
      <c r="LYT46" s="987"/>
      <c r="LYU46" s="987"/>
      <c r="LYV46" s="987"/>
      <c r="LYW46" s="987"/>
      <c r="LYX46" s="987"/>
      <c r="LYY46" s="987"/>
      <c r="LYZ46" s="987"/>
      <c r="LZA46" s="987"/>
      <c r="LZB46" s="987"/>
      <c r="LZC46" s="987"/>
      <c r="LZD46" s="987"/>
      <c r="LZE46" s="987"/>
      <c r="LZF46" s="987"/>
      <c r="LZG46" s="987"/>
      <c r="LZH46" s="987"/>
      <c r="LZI46" s="987"/>
      <c r="LZJ46" s="987"/>
      <c r="LZK46" s="987"/>
      <c r="LZL46" s="987"/>
      <c r="LZM46" s="987"/>
      <c r="LZN46" s="987"/>
      <c r="LZO46" s="987"/>
      <c r="LZP46" s="987"/>
      <c r="LZQ46" s="987"/>
      <c r="LZR46" s="987"/>
      <c r="LZS46" s="987"/>
      <c r="LZT46" s="987"/>
      <c r="LZU46" s="987"/>
      <c r="LZV46" s="987"/>
      <c r="LZW46" s="987"/>
      <c r="LZX46" s="987"/>
      <c r="LZY46" s="987"/>
      <c r="LZZ46" s="987"/>
      <c r="MAA46" s="987"/>
      <c r="MAB46" s="987"/>
      <c r="MAC46" s="987"/>
      <c r="MAD46" s="987"/>
      <c r="MAE46" s="987"/>
      <c r="MAF46" s="987"/>
      <c r="MAG46" s="987"/>
      <c r="MAH46" s="987"/>
      <c r="MAI46" s="987"/>
      <c r="MAJ46" s="987"/>
      <c r="MAK46" s="987"/>
      <c r="MAL46" s="987"/>
      <c r="MAM46" s="987"/>
      <c r="MAN46" s="987"/>
      <c r="MAO46" s="987"/>
      <c r="MAP46" s="987"/>
      <c r="MAQ46" s="987"/>
      <c r="MAR46" s="987"/>
      <c r="MAS46" s="987"/>
      <c r="MAT46" s="987"/>
      <c r="MAU46" s="987"/>
      <c r="MAV46" s="987"/>
      <c r="MAW46" s="987"/>
      <c r="MAX46" s="987"/>
      <c r="MAY46" s="987"/>
      <c r="MAZ46" s="987"/>
      <c r="MBA46" s="987"/>
      <c r="MBB46" s="987"/>
      <c r="MBC46" s="987"/>
      <c r="MBD46" s="987"/>
      <c r="MBE46" s="987"/>
      <c r="MBF46" s="987"/>
      <c r="MBG46" s="987"/>
      <c r="MBH46" s="987"/>
      <c r="MBI46" s="987"/>
      <c r="MBJ46" s="987"/>
      <c r="MBK46" s="987"/>
      <c r="MBL46" s="987"/>
      <c r="MBM46" s="987"/>
      <c r="MBN46" s="987"/>
      <c r="MBO46" s="987"/>
      <c r="MBP46" s="987"/>
      <c r="MBQ46" s="987"/>
      <c r="MBR46" s="987"/>
      <c r="MBS46" s="987"/>
      <c r="MBT46" s="987"/>
      <c r="MBU46" s="987"/>
      <c r="MBV46" s="987"/>
      <c r="MBW46" s="987"/>
      <c r="MBX46" s="987"/>
      <c r="MBY46" s="987"/>
      <c r="MBZ46" s="987"/>
      <c r="MCA46" s="987"/>
      <c r="MCB46" s="987"/>
      <c r="MCC46" s="987"/>
      <c r="MCD46" s="987"/>
      <c r="MCE46" s="987"/>
      <c r="MCF46" s="987"/>
      <c r="MCG46" s="987"/>
      <c r="MCH46" s="987"/>
      <c r="MCI46" s="987"/>
      <c r="MCJ46" s="987"/>
      <c r="MCK46" s="987"/>
      <c r="MCL46" s="987"/>
      <c r="MCM46" s="987"/>
      <c r="MCN46" s="987"/>
      <c r="MCO46" s="987"/>
      <c r="MCP46" s="987"/>
      <c r="MCQ46" s="987"/>
      <c r="MCR46" s="987"/>
      <c r="MCS46" s="987"/>
      <c r="MCT46" s="987"/>
      <c r="MCU46" s="987"/>
      <c r="MCV46" s="987"/>
      <c r="MCW46" s="987"/>
      <c r="MCX46" s="987"/>
      <c r="MCY46" s="987"/>
      <c r="MCZ46" s="987"/>
      <c r="MDA46" s="987"/>
      <c r="MDB46" s="987"/>
      <c r="MDC46" s="987"/>
      <c r="MDD46" s="987"/>
      <c r="MDE46" s="987"/>
      <c r="MDF46" s="987"/>
      <c r="MDG46" s="987"/>
      <c r="MDH46" s="987"/>
      <c r="MDI46" s="987"/>
      <c r="MDJ46" s="987"/>
      <c r="MDK46" s="987"/>
      <c r="MDL46" s="987"/>
      <c r="MDM46" s="987"/>
      <c r="MDN46" s="987"/>
      <c r="MDO46" s="987"/>
      <c r="MDP46" s="987"/>
      <c r="MDQ46" s="987"/>
      <c r="MDR46" s="987"/>
      <c r="MDS46" s="987"/>
      <c r="MDT46" s="987"/>
      <c r="MDU46" s="987"/>
      <c r="MDV46" s="987"/>
      <c r="MDW46" s="987"/>
      <c r="MDX46" s="987"/>
      <c r="MDY46" s="987"/>
      <c r="MDZ46" s="987"/>
      <c r="MEA46" s="987"/>
      <c r="MEB46" s="987"/>
      <c r="MEC46" s="987"/>
      <c r="MED46" s="987"/>
      <c r="MEE46" s="987"/>
      <c r="MEF46" s="987"/>
      <c r="MEG46" s="987"/>
      <c r="MEH46" s="987"/>
      <c r="MEI46" s="987"/>
      <c r="MEJ46" s="987"/>
      <c r="MEK46" s="987"/>
      <c r="MEL46" s="987"/>
      <c r="MEM46" s="987"/>
      <c r="MEN46" s="987"/>
      <c r="MEO46" s="987"/>
      <c r="MEP46" s="987"/>
      <c r="MEQ46" s="987"/>
      <c r="MER46" s="987"/>
      <c r="MES46" s="987"/>
      <c r="MET46" s="987"/>
      <c r="MEU46" s="987"/>
      <c r="MEV46" s="987"/>
      <c r="MEW46" s="987"/>
      <c r="MEX46" s="987"/>
      <c r="MEY46" s="987"/>
      <c r="MEZ46" s="987"/>
      <c r="MFA46" s="987"/>
      <c r="MFB46" s="987"/>
      <c r="MFC46" s="987"/>
      <c r="MFD46" s="987"/>
      <c r="MFE46" s="987"/>
      <c r="MFF46" s="987"/>
      <c r="MFG46" s="987"/>
      <c r="MFH46" s="987"/>
      <c r="MFI46" s="987"/>
      <c r="MFJ46" s="987"/>
      <c r="MFK46" s="987"/>
      <c r="MFL46" s="987"/>
      <c r="MFM46" s="987"/>
      <c r="MFN46" s="987"/>
      <c r="MFO46" s="987"/>
      <c r="MFP46" s="987"/>
      <c r="MFQ46" s="987"/>
      <c r="MFR46" s="987"/>
      <c r="MFS46" s="987"/>
      <c r="MFT46" s="987"/>
      <c r="MFU46" s="987"/>
      <c r="MFV46" s="987"/>
      <c r="MFW46" s="987"/>
      <c r="MFX46" s="987"/>
      <c r="MFY46" s="987"/>
      <c r="MFZ46" s="987"/>
      <c r="MGA46" s="987"/>
      <c r="MGB46" s="987"/>
      <c r="MGC46" s="987"/>
      <c r="MGD46" s="987"/>
      <c r="MGE46" s="987"/>
      <c r="MGF46" s="987"/>
      <c r="MGG46" s="987"/>
      <c r="MGH46" s="987"/>
      <c r="MGI46" s="987"/>
      <c r="MGJ46" s="987"/>
      <c r="MGK46" s="987"/>
      <c r="MGL46" s="987"/>
      <c r="MGM46" s="987"/>
      <c r="MGN46" s="987"/>
      <c r="MGO46" s="987"/>
      <c r="MGP46" s="987"/>
      <c r="MGQ46" s="987"/>
      <c r="MGR46" s="987"/>
      <c r="MGS46" s="987"/>
      <c r="MGT46" s="987"/>
      <c r="MGU46" s="987"/>
      <c r="MGV46" s="987"/>
      <c r="MGW46" s="987"/>
      <c r="MGX46" s="987"/>
      <c r="MGY46" s="987"/>
      <c r="MGZ46" s="987"/>
      <c r="MHA46" s="987"/>
      <c r="MHB46" s="987"/>
      <c r="MHC46" s="987"/>
      <c r="MHD46" s="987"/>
      <c r="MHE46" s="987"/>
      <c r="MHF46" s="987"/>
      <c r="MHG46" s="987"/>
      <c r="MHH46" s="987"/>
      <c r="MHI46" s="987"/>
      <c r="MHJ46" s="987"/>
      <c r="MHK46" s="987"/>
      <c r="MHL46" s="987"/>
      <c r="MHM46" s="987"/>
      <c r="MHN46" s="987"/>
      <c r="MHO46" s="987"/>
      <c r="MHP46" s="987"/>
      <c r="MHQ46" s="987"/>
      <c r="MHR46" s="987"/>
      <c r="MHS46" s="987"/>
      <c r="MHT46" s="987"/>
      <c r="MHU46" s="987"/>
      <c r="MHV46" s="987"/>
      <c r="MHW46" s="987"/>
      <c r="MHX46" s="987"/>
      <c r="MHY46" s="987"/>
      <c r="MHZ46" s="987"/>
      <c r="MIA46" s="987"/>
      <c r="MIB46" s="987"/>
      <c r="MIC46" s="987"/>
      <c r="MID46" s="987"/>
      <c r="MIE46" s="987"/>
      <c r="MIF46" s="987"/>
      <c r="MIG46" s="987"/>
      <c r="MIH46" s="987"/>
      <c r="MII46" s="987"/>
      <c r="MIJ46" s="987"/>
      <c r="MIK46" s="987"/>
      <c r="MIL46" s="987"/>
      <c r="MIM46" s="987"/>
      <c r="MIN46" s="987"/>
      <c r="MIO46" s="987"/>
      <c r="MIP46" s="987"/>
      <c r="MIQ46" s="987"/>
      <c r="MIR46" s="987"/>
      <c r="MIS46" s="987"/>
      <c r="MIT46" s="987"/>
      <c r="MIU46" s="987"/>
      <c r="MIV46" s="987"/>
      <c r="MIW46" s="987"/>
      <c r="MIX46" s="987"/>
      <c r="MIY46" s="987"/>
      <c r="MIZ46" s="987"/>
      <c r="MJA46" s="987"/>
      <c r="MJB46" s="987"/>
      <c r="MJC46" s="987"/>
      <c r="MJD46" s="987"/>
      <c r="MJE46" s="987"/>
      <c r="MJF46" s="987"/>
      <c r="MJG46" s="987"/>
      <c r="MJH46" s="987"/>
      <c r="MJI46" s="987"/>
      <c r="MJJ46" s="987"/>
      <c r="MJK46" s="987"/>
      <c r="MJL46" s="987"/>
      <c r="MJM46" s="987"/>
      <c r="MJN46" s="987"/>
      <c r="MJO46" s="987"/>
      <c r="MJP46" s="987"/>
      <c r="MJQ46" s="987"/>
      <c r="MJR46" s="987"/>
      <c r="MJS46" s="987"/>
      <c r="MJT46" s="987"/>
      <c r="MJU46" s="987"/>
      <c r="MJV46" s="987"/>
      <c r="MJW46" s="987"/>
      <c r="MJX46" s="987"/>
      <c r="MJY46" s="987"/>
      <c r="MJZ46" s="987"/>
      <c r="MKA46" s="987"/>
      <c r="MKB46" s="987"/>
      <c r="MKC46" s="987"/>
      <c r="MKD46" s="987"/>
      <c r="MKE46" s="987"/>
      <c r="MKF46" s="987"/>
      <c r="MKG46" s="987"/>
      <c r="MKH46" s="987"/>
      <c r="MKI46" s="987"/>
      <c r="MKJ46" s="987"/>
      <c r="MKK46" s="987"/>
      <c r="MKL46" s="987"/>
      <c r="MKM46" s="987"/>
      <c r="MKN46" s="987"/>
      <c r="MKO46" s="987"/>
      <c r="MKP46" s="987"/>
      <c r="MKQ46" s="987"/>
      <c r="MKR46" s="987"/>
      <c r="MKS46" s="987"/>
      <c r="MKT46" s="987"/>
      <c r="MKU46" s="987"/>
      <c r="MKV46" s="987"/>
      <c r="MKW46" s="987"/>
      <c r="MKX46" s="987"/>
      <c r="MKY46" s="987"/>
      <c r="MKZ46" s="987"/>
      <c r="MLA46" s="987"/>
      <c r="MLB46" s="987"/>
      <c r="MLC46" s="987"/>
      <c r="MLD46" s="987"/>
      <c r="MLE46" s="987"/>
      <c r="MLF46" s="987"/>
      <c r="MLG46" s="987"/>
      <c r="MLH46" s="987"/>
      <c r="MLI46" s="987"/>
      <c r="MLJ46" s="987"/>
      <c r="MLK46" s="987"/>
      <c r="MLL46" s="987"/>
      <c r="MLM46" s="987"/>
      <c r="MLN46" s="987"/>
      <c r="MLO46" s="987"/>
      <c r="MLP46" s="987"/>
      <c r="MLQ46" s="987"/>
      <c r="MLR46" s="987"/>
      <c r="MLS46" s="987"/>
      <c r="MLT46" s="987"/>
      <c r="MLU46" s="987"/>
      <c r="MLV46" s="987"/>
      <c r="MLW46" s="987"/>
      <c r="MLX46" s="987"/>
      <c r="MLY46" s="987"/>
      <c r="MLZ46" s="987"/>
      <c r="MMA46" s="987"/>
      <c r="MMB46" s="987"/>
      <c r="MMC46" s="987"/>
      <c r="MMD46" s="987"/>
      <c r="MME46" s="987"/>
      <c r="MMF46" s="987"/>
      <c r="MMG46" s="987"/>
      <c r="MMH46" s="987"/>
      <c r="MMI46" s="987"/>
      <c r="MMJ46" s="987"/>
      <c r="MMK46" s="987"/>
      <c r="MML46" s="987"/>
      <c r="MMM46" s="987"/>
      <c r="MMN46" s="987"/>
      <c r="MMO46" s="987"/>
      <c r="MMP46" s="987"/>
      <c r="MMQ46" s="987"/>
      <c r="MMR46" s="987"/>
      <c r="MMS46" s="987"/>
      <c r="MMT46" s="987"/>
      <c r="MMU46" s="987"/>
      <c r="MMV46" s="987"/>
      <c r="MMW46" s="987"/>
      <c r="MMX46" s="987"/>
      <c r="MMY46" s="987"/>
      <c r="MMZ46" s="987"/>
      <c r="MNA46" s="987"/>
      <c r="MNB46" s="987"/>
      <c r="MNC46" s="987"/>
      <c r="MND46" s="987"/>
      <c r="MNE46" s="987"/>
      <c r="MNF46" s="987"/>
      <c r="MNG46" s="987"/>
      <c r="MNH46" s="987"/>
      <c r="MNI46" s="987"/>
      <c r="MNJ46" s="987"/>
      <c r="MNK46" s="987"/>
      <c r="MNL46" s="987"/>
      <c r="MNM46" s="987"/>
      <c r="MNN46" s="987"/>
      <c r="MNO46" s="987"/>
      <c r="MNP46" s="987"/>
      <c r="MNQ46" s="987"/>
      <c r="MNR46" s="987"/>
      <c r="MNS46" s="987"/>
      <c r="MNT46" s="987"/>
      <c r="MNU46" s="987"/>
      <c r="MNV46" s="987"/>
      <c r="MNW46" s="987"/>
      <c r="MNX46" s="987"/>
      <c r="MNY46" s="987"/>
      <c r="MNZ46" s="987"/>
      <c r="MOA46" s="987"/>
      <c r="MOB46" s="987"/>
      <c r="MOC46" s="987"/>
      <c r="MOD46" s="987"/>
      <c r="MOE46" s="987"/>
      <c r="MOF46" s="987"/>
      <c r="MOG46" s="987"/>
      <c r="MOH46" s="987"/>
      <c r="MOI46" s="987"/>
      <c r="MOJ46" s="987"/>
      <c r="MOK46" s="987"/>
      <c r="MOL46" s="987"/>
      <c r="MOM46" s="987"/>
      <c r="MON46" s="987"/>
      <c r="MOO46" s="987"/>
      <c r="MOP46" s="987"/>
      <c r="MOQ46" s="987"/>
      <c r="MOR46" s="987"/>
      <c r="MOS46" s="987"/>
      <c r="MOT46" s="987"/>
      <c r="MOU46" s="987"/>
      <c r="MOV46" s="987"/>
      <c r="MOW46" s="987"/>
      <c r="MOX46" s="987"/>
      <c r="MOY46" s="987"/>
      <c r="MOZ46" s="987"/>
      <c r="MPA46" s="987"/>
      <c r="MPB46" s="987"/>
      <c r="MPC46" s="987"/>
      <c r="MPD46" s="987"/>
      <c r="MPE46" s="987"/>
      <c r="MPF46" s="987"/>
      <c r="MPG46" s="987"/>
      <c r="MPH46" s="987"/>
      <c r="MPI46" s="987"/>
      <c r="MPJ46" s="987"/>
      <c r="MPK46" s="987"/>
      <c r="MPL46" s="987"/>
      <c r="MPM46" s="987"/>
      <c r="MPN46" s="987"/>
      <c r="MPO46" s="987"/>
      <c r="MPP46" s="987"/>
      <c r="MPQ46" s="987"/>
      <c r="MPR46" s="987"/>
      <c r="MPS46" s="987"/>
      <c r="MPT46" s="987"/>
      <c r="MPU46" s="987"/>
      <c r="MPV46" s="987"/>
      <c r="MPW46" s="987"/>
      <c r="MPX46" s="987"/>
      <c r="MPY46" s="987"/>
      <c r="MPZ46" s="987"/>
      <c r="MQA46" s="987"/>
      <c r="MQB46" s="987"/>
      <c r="MQC46" s="987"/>
      <c r="MQD46" s="987"/>
      <c r="MQE46" s="987"/>
      <c r="MQF46" s="987"/>
      <c r="MQG46" s="987"/>
      <c r="MQH46" s="987"/>
      <c r="MQI46" s="987"/>
      <c r="MQJ46" s="987"/>
      <c r="MQK46" s="987"/>
      <c r="MQL46" s="987"/>
      <c r="MQM46" s="987"/>
      <c r="MQN46" s="987"/>
      <c r="MQO46" s="987"/>
      <c r="MQP46" s="987"/>
      <c r="MQQ46" s="987"/>
      <c r="MQR46" s="987"/>
      <c r="MQS46" s="987"/>
      <c r="MQT46" s="987"/>
      <c r="MQU46" s="987"/>
      <c r="MQV46" s="987"/>
      <c r="MQW46" s="987"/>
      <c r="MQX46" s="987"/>
      <c r="MQY46" s="987"/>
      <c r="MQZ46" s="987"/>
      <c r="MRA46" s="987"/>
      <c r="MRB46" s="987"/>
      <c r="MRC46" s="987"/>
      <c r="MRD46" s="987"/>
      <c r="MRE46" s="987"/>
      <c r="MRF46" s="987"/>
      <c r="MRG46" s="987"/>
      <c r="MRH46" s="987"/>
      <c r="MRI46" s="987"/>
      <c r="MRJ46" s="987"/>
      <c r="MRK46" s="987"/>
      <c r="MRL46" s="987"/>
      <c r="MRM46" s="987"/>
      <c r="MRN46" s="987"/>
      <c r="MRO46" s="987"/>
      <c r="MRP46" s="987"/>
      <c r="MRQ46" s="987"/>
      <c r="MRR46" s="987"/>
      <c r="MRS46" s="987"/>
      <c r="MRT46" s="987"/>
      <c r="MRU46" s="987"/>
      <c r="MRV46" s="987"/>
      <c r="MRW46" s="987"/>
      <c r="MRX46" s="987"/>
      <c r="MRY46" s="987"/>
      <c r="MRZ46" s="987"/>
      <c r="MSA46" s="987"/>
      <c r="MSB46" s="987"/>
      <c r="MSC46" s="987"/>
      <c r="MSD46" s="987"/>
      <c r="MSE46" s="987"/>
      <c r="MSF46" s="987"/>
      <c r="MSG46" s="987"/>
      <c r="MSH46" s="987"/>
      <c r="MSI46" s="987"/>
      <c r="MSJ46" s="987"/>
      <c r="MSK46" s="987"/>
      <c r="MSL46" s="987"/>
      <c r="MSM46" s="987"/>
      <c r="MSN46" s="987"/>
      <c r="MSO46" s="987"/>
      <c r="MSP46" s="987"/>
      <c r="MSQ46" s="987"/>
      <c r="MSR46" s="987"/>
      <c r="MSS46" s="987"/>
      <c r="MST46" s="987"/>
      <c r="MSU46" s="987"/>
      <c r="MSV46" s="987"/>
      <c r="MSW46" s="987"/>
      <c r="MSX46" s="987"/>
      <c r="MSY46" s="987"/>
      <c r="MSZ46" s="987"/>
      <c r="MTA46" s="987"/>
      <c r="MTB46" s="987"/>
      <c r="MTC46" s="987"/>
      <c r="MTD46" s="987"/>
      <c r="MTE46" s="987"/>
      <c r="MTF46" s="987"/>
      <c r="MTG46" s="987"/>
      <c r="MTH46" s="987"/>
      <c r="MTI46" s="987"/>
      <c r="MTJ46" s="987"/>
      <c r="MTK46" s="987"/>
      <c r="MTL46" s="987"/>
      <c r="MTM46" s="987"/>
      <c r="MTN46" s="987"/>
      <c r="MTO46" s="987"/>
      <c r="MTP46" s="987"/>
      <c r="MTQ46" s="987"/>
      <c r="MTR46" s="987"/>
      <c r="MTS46" s="987"/>
      <c r="MTT46" s="987"/>
      <c r="MTU46" s="987"/>
      <c r="MTV46" s="987"/>
      <c r="MTW46" s="987"/>
      <c r="MTX46" s="987"/>
      <c r="MTY46" s="987"/>
      <c r="MTZ46" s="987"/>
      <c r="MUA46" s="987"/>
      <c r="MUB46" s="987"/>
      <c r="MUC46" s="987"/>
      <c r="MUD46" s="987"/>
      <c r="MUE46" s="987"/>
      <c r="MUF46" s="987"/>
      <c r="MUG46" s="987"/>
      <c r="MUH46" s="987"/>
      <c r="MUI46" s="987"/>
      <c r="MUJ46" s="987"/>
      <c r="MUK46" s="987"/>
      <c r="MUL46" s="987"/>
      <c r="MUM46" s="987"/>
      <c r="MUN46" s="987"/>
      <c r="MUO46" s="987"/>
      <c r="MUP46" s="987"/>
      <c r="MUQ46" s="987"/>
      <c r="MUR46" s="987"/>
      <c r="MUS46" s="987"/>
      <c r="MUT46" s="987"/>
      <c r="MUU46" s="987"/>
      <c r="MUV46" s="987"/>
      <c r="MUW46" s="987"/>
      <c r="MUX46" s="987"/>
      <c r="MUY46" s="987"/>
      <c r="MUZ46" s="987"/>
      <c r="MVA46" s="987"/>
      <c r="MVB46" s="987"/>
      <c r="MVC46" s="987"/>
      <c r="MVD46" s="987"/>
      <c r="MVE46" s="987"/>
      <c r="MVF46" s="987"/>
      <c r="MVG46" s="987"/>
      <c r="MVH46" s="987"/>
      <c r="MVI46" s="987"/>
      <c r="MVJ46" s="987"/>
      <c r="MVK46" s="987"/>
      <c r="MVL46" s="987"/>
      <c r="MVM46" s="987"/>
      <c r="MVN46" s="987"/>
      <c r="MVO46" s="987"/>
      <c r="MVP46" s="987"/>
      <c r="MVQ46" s="987"/>
      <c r="MVR46" s="987"/>
      <c r="MVS46" s="987"/>
      <c r="MVT46" s="987"/>
      <c r="MVU46" s="987"/>
      <c r="MVV46" s="987"/>
      <c r="MVW46" s="987"/>
      <c r="MVX46" s="987"/>
      <c r="MVY46" s="987"/>
      <c r="MVZ46" s="987"/>
      <c r="MWA46" s="987"/>
      <c r="MWB46" s="987"/>
      <c r="MWC46" s="987"/>
      <c r="MWD46" s="987"/>
      <c r="MWE46" s="987"/>
      <c r="MWF46" s="987"/>
      <c r="MWG46" s="987"/>
      <c r="MWH46" s="987"/>
      <c r="MWI46" s="987"/>
      <c r="MWJ46" s="987"/>
      <c r="MWK46" s="987"/>
      <c r="MWL46" s="987"/>
      <c r="MWM46" s="987"/>
      <c r="MWN46" s="987"/>
      <c r="MWO46" s="987"/>
      <c r="MWP46" s="987"/>
      <c r="MWQ46" s="987"/>
      <c r="MWR46" s="987"/>
      <c r="MWS46" s="987"/>
      <c r="MWT46" s="987"/>
      <c r="MWU46" s="987"/>
      <c r="MWV46" s="987"/>
      <c r="MWW46" s="987"/>
      <c r="MWX46" s="987"/>
      <c r="MWY46" s="987"/>
      <c r="MWZ46" s="987"/>
      <c r="MXA46" s="987"/>
      <c r="MXB46" s="987"/>
      <c r="MXC46" s="987"/>
      <c r="MXD46" s="987"/>
      <c r="MXE46" s="987"/>
      <c r="MXF46" s="987"/>
      <c r="MXG46" s="987"/>
      <c r="MXH46" s="987"/>
      <c r="MXI46" s="987"/>
      <c r="MXJ46" s="987"/>
      <c r="MXK46" s="987"/>
      <c r="MXL46" s="987"/>
      <c r="MXM46" s="987"/>
      <c r="MXN46" s="987"/>
      <c r="MXO46" s="987"/>
      <c r="MXP46" s="987"/>
      <c r="MXQ46" s="987"/>
      <c r="MXR46" s="987"/>
      <c r="MXS46" s="987"/>
      <c r="MXT46" s="987"/>
      <c r="MXU46" s="987"/>
      <c r="MXV46" s="987"/>
      <c r="MXW46" s="987"/>
      <c r="MXX46" s="987"/>
      <c r="MXY46" s="987"/>
      <c r="MXZ46" s="987"/>
      <c r="MYA46" s="987"/>
      <c r="MYB46" s="987"/>
      <c r="MYC46" s="987"/>
      <c r="MYD46" s="987"/>
      <c r="MYE46" s="987"/>
      <c r="MYF46" s="987"/>
      <c r="MYG46" s="987"/>
      <c r="MYH46" s="987"/>
      <c r="MYI46" s="987"/>
      <c r="MYJ46" s="987"/>
      <c r="MYK46" s="987"/>
      <c r="MYL46" s="987"/>
      <c r="MYM46" s="987"/>
      <c r="MYN46" s="987"/>
      <c r="MYO46" s="987"/>
      <c r="MYP46" s="987"/>
      <c r="MYQ46" s="987"/>
      <c r="MYR46" s="987"/>
      <c r="MYS46" s="987"/>
      <c r="MYT46" s="987"/>
      <c r="MYU46" s="987"/>
      <c r="MYV46" s="987"/>
      <c r="MYW46" s="987"/>
      <c r="MYX46" s="987"/>
      <c r="MYY46" s="987"/>
      <c r="MYZ46" s="987"/>
      <c r="MZA46" s="987"/>
      <c r="MZB46" s="987"/>
      <c r="MZC46" s="987"/>
      <c r="MZD46" s="987"/>
      <c r="MZE46" s="987"/>
      <c r="MZF46" s="987"/>
      <c r="MZG46" s="987"/>
      <c r="MZH46" s="987"/>
      <c r="MZI46" s="987"/>
      <c r="MZJ46" s="987"/>
      <c r="MZK46" s="987"/>
      <c r="MZL46" s="987"/>
      <c r="MZM46" s="987"/>
      <c r="MZN46" s="987"/>
      <c r="MZO46" s="987"/>
      <c r="MZP46" s="987"/>
      <c r="MZQ46" s="987"/>
      <c r="MZR46" s="987"/>
      <c r="MZS46" s="987"/>
      <c r="MZT46" s="987"/>
      <c r="MZU46" s="987"/>
      <c r="MZV46" s="987"/>
      <c r="MZW46" s="987"/>
      <c r="MZX46" s="987"/>
      <c r="MZY46" s="987"/>
      <c r="MZZ46" s="987"/>
      <c r="NAA46" s="987"/>
      <c r="NAB46" s="987"/>
      <c r="NAC46" s="987"/>
      <c r="NAD46" s="987"/>
      <c r="NAE46" s="987"/>
      <c r="NAF46" s="987"/>
      <c r="NAG46" s="987"/>
      <c r="NAH46" s="987"/>
      <c r="NAI46" s="987"/>
      <c r="NAJ46" s="987"/>
      <c r="NAK46" s="987"/>
      <c r="NAL46" s="987"/>
      <c r="NAM46" s="987"/>
      <c r="NAN46" s="987"/>
      <c r="NAO46" s="987"/>
      <c r="NAP46" s="987"/>
      <c r="NAQ46" s="987"/>
      <c r="NAR46" s="987"/>
      <c r="NAS46" s="987"/>
      <c r="NAT46" s="987"/>
      <c r="NAU46" s="987"/>
      <c r="NAV46" s="987"/>
      <c r="NAW46" s="987"/>
      <c r="NAX46" s="987"/>
      <c r="NAY46" s="987"/>
      <c r="NAZ46" s="987"/>
      <c r="NBA46" s="987"/>
      <c r="NBB46" s="987"/>
      <c r="NBC46" s="987"/>
      <c r="NBD46" s="987"/>
      <c r="NBE46" s="987"/>
      <c r="NBF46" s="987"/>
      <c r="NBG46" s="987"/>
      <c r="NBH46" s="987"/>
      <c r="NBI46" s="987"/>
      <c r="NBJ46" s="987"/>
      <c r="NBK46" s="987"/>
      <c r="NBL46" s="987"/>
      <c r="NBM46" s="987"/>
      <c r="NBN46" s="987"/>
      <c r="NBO46" s="987"/>
      <c r="NBP46" s="987"/>
      <c r="NBQ46" s="987"/>
      <c r="NBR46" s="987"/>
      <c r="NBS46" s="987"/>
      <c r="NBT46" s="987"/>
      <c r="NBU46" s="987"/>
      <c r="NBV46" s="987"/>
      <c r="NBW46" s="987"/>
      <c r="NBX46" s="987"/>
      <c r="NBY46" s="987"/>
      <c r="NBZ46" s="987"/>
      <c r="NCA46" s="987"/>
      <c r="NCB46" s="987"/>
      <c r="NCC46" s="987"/>
      <c r="NCD46" s="987"/>
      <c r="NCE46" s="987"/>
      <c r="NCF46" s="987"/>
      <c r="NCG46" s="987"/>
      <c r="NCH46" s="987"/>
      <c r="NCI46" s="987"/>
      <c r="NCJ46" s="987"/>
      <c r="NCK46" s="987"/>
      <c r="NCL46" s="987"/>
      <c r="NCM46" s="987"/>
      <c r="NCN46" s="987"/>
      <c r="NCO46" s="987"/>
      <c r="NCP46" s="987"/>
      <c r="NCQ46" s="987"/>
      <c r="NCR46" s="987"/>
      <c r="NCS46" s="987"/>
      <c r="NCT46" s="987"/>
      <c r="NCU46" s="987"/>
      <c r="NCV46" s="987"/>
      <c r="NCW46" s="987"/>
      <c r="NCX46" s="987"/>
      <c r="NCY46" s="987"/>
      <c r="NCZ46" s="987"/>
      <c r="NDA46" s="987"/>
      <c r="NDB46" s="987"/>
      <c r="NDC46" s="987"/>
      <c r="NDD46" s="987"/>
      <c r="NDE46" s="987"/>
      <c r="NDF46" s="987"/>
      <c r="NDG46" s="987"/>
      <c r="NDH46" s="987"/>
      <c r="NDI46" s="987"/>
      <c r="NDJ46" s="987"/>
      <c r="NDK46" s="987"/>
      <c r="NDL46" s="987"/>
      <c r="NDM46" s="987"/>
      <c r="NDN46" s="987"/>
      <c r="NDO46" s="987"/>
      <c r="NDP46" s="987"/>
      <c r="NDQ46" s="987"/>
      <c r="NDR46" s="987"/>
      <c r="NDS46" s="987"/>
      <c r="NDT46" s="987"/>
      <c r="NDU46" s="987"/>
      <c r="NDV46" s="987"/>
      <c r="NDW46" s="987"/>
      <c r="NDX46" s="987"/>
      <c r="NDY46" s="987"/>
      <c r="NDZ46" s="987"/>
      <c r="NEA46" s="987"/>
      <c r="NEB46" s="987"/>
      <c r="NEC46" s="987"/>
      <c r="NED46" s="987"/>
      <c r="NEE46" s="987"/>
      <c r="NEF46" s="987"/>
      <c r="NEG46" s="987"/>
      <c r="NEH46" s="987"/>
      <c r="NEI46" s="987"/>
      <c r="NEJ46" s="987"/>
      <c r="NEK46" s="987"/>
      <c r="NEL46" s="987"/>
      <c r="NEM46" s="987"/>
      <c r="NEN46" s="987"/>
      <c r="NEO46" s="987"/>
      <c r="NEP46" s="987"/>
      <c r="NEQ46" s="987"/>
      <c r="NER46" s="987"/>
      <c r="NES46" s="987"/>
      <c r="NET46" s="987"/>
      <c r="NEU46" s="987"/>
      <c r="NEV46" s="987"/>
      <c r="NEW46" s="987"/>
      <c r="NEX46" s="987"/>
      <c r="NEY46" s="987"/>
      <c r="NEZ46" s="987"/>
      <c r="NFA46" s="987"/>
      <c r="NFB46" s="987"/>
      <c r="NFC46" s="987"/>
      <c r="NFD46" s="987"/>
      <c r="NFE46" s="987"/>
      <c r="NFF46" s="987"/>
      <c r="NFG46" s="987"/>
      <c r="NFH46" s="987"/>
      <c r="NFI46" s="987"/>
      <c r="NFJ46" s="987"/>
      <c r="NFK46" s="987"/>
      <c r="NFL46" s="987"/>
      <c r="NFM46" s="987"/>
      <c r="NFN46" s="987"/>
      <c r="NFO46" s="987"/>
      <c r="NFP46" s="987"/>
      <c r="NFQ46" s="987"/>
      <c r="NFR46" s="987"/>
      <c r="NFS46" s="987"/>
      <c r="NFT46" s="987"/>
      <c r="NFU46" s="987"/>
      <c r="NFV46" s="987"/>
      <c r="NFW46" s="987"/>
      <c r="NFX46" s="987"/>
      <c r="NFY46" s="987"/>
      <c r="NFZ46" s="987"/>
      <c r="NGA46" s="987"/>
      <c r="NGB46" s="987"/>
      <c r="NGC46" s="987"/>
      <c r="NGD46" s="987"/>
      <c r="NGE46" s="987"/>
      <c r="NGF46" s="987"/>
      <c r="NGG46" s="987"/>
      <c r="NGH46" s="987"/>
      <c r="NGI46" s="987"/>
      <c r="NGJ46" s="987"/>
      <c r="NGK46" s="987"/>
      <c r="NGL46" s="987"/>
      <c r="NGM46" s="987"/>
      <c r="NGN46" s="987"/>
      <c r="NGO46" s="987"/>
      <c r="NGP46" s="987"/>
      <c r="NGQ46" s="987"/>
      <c r="NGR46" s="987"/>
      <c r="NGS46" s="987"/>
      <c r="NGT46" s="987"/>
      <c r="NGU46" s="987"/>
      <c r="NGV46" s="987"/>
      <c r="NGW46" s="987"/>
      <c r="NGX46" s="987"/>
      <c r="NGY46" s="987"/>
      <c r="NGZ46" s="987"/>
      <c r="NHA46" s="987"/>
      <c r="NHB46" s="987"/>
      <c r="NHC46" s="987"/>
      <c r="NHD46" s="987"/>
      <c r="NHE46" s="987"/>
      <c r="NHF46" s="987"/>
      <c r="NHG46" s="987"/>
      <c r="NHH46" s="987"/>
      <c r="NHI46" s="987"/>
      <c r="NHJ46" s="987"/>
      <c r="NHK46" s="987"/>
      <c r="NHL46" s="987"/>
      <c r="NHM46" s="987"/>
      <c r="NHN46" s="987"/>
      <c r="NHO46" s="987"/>
      <c r="NHP46" s="987"/>
      <c r="NHQ46" s="987"/>
      <c r="NHR46" s="987"/>
      <c r="NHS46" s="987"/>
      <c r="NHT46" s="987"/>
      <c r="NHU46" s="987"/>
      <c r="NHV46" s="987"/>
      <c r="NHW46" s="987"/>
      <c r="NHX46" s="987"/>
      <c r="NHY46" s="987"/>
      <c r="NHZ46" s="987"/>
      <c r="NIA46" s="987"/>
      <c r="NIB46" s="987"/>
      <c r="NIC46" s="987"/>
      <c r="NID46" s="987"/>
      <c r="NIE46" s="987"/>
      <c r="NIF46" s="987"/>
      <c r="NIG46" s="987"/>
      <c r="NIH46" s="987"/>
      <c r="NII46" s="987"/>
      <c r="NIJ46" s="987"/>
      <c r="NIK46" s="987"/>
      <c r="NIL46" s="987"/>
      <c r="NIM46" s="987"/>
      <c r="NIN46" s="987"/>
      <c r="NIO46" s="987"/>
      <c r="NIP46" s="987"/>
      <c r="NIQ46" s="987"/>
      <c r="NIR46" s="987"/>
      <c r="NIS46" s="987"/>
      <c r="NIT46" s="987"/>
      <c r="NIU46" s="987"/>
      <c r="NIV46" s="987"/>
      <c r="NIW46" s="987"/>
      <c r="NIX46" s="987"/>
      <c r="NIY46" s="987"/>
      <c r="NIZ46" s="987"/>
      <c r="NJA46" s="987"/>
      <c r="NJB46" s="987"/>
      <c r="NJC46" s="987"/>
      <c r="NJD46" s="987"/>
      <c r="NJE46" s="987"/>
      <c r="NJF46" s="987"/>
      <c r="NJG46" s="987"/>
      <c r="NJH46" s="987"/>
      <c r="NJI46" s="987"/>
      <c r="NJJ46" s="987"/>
      <c r="NJK46" s="987"/>
      <c r="NJL46" s="987"/>
      <c r="NJM46" s="987"/>
      <c r="NJN46" s="987"/>
      <c r="NJO46" s="987"/>
      <c r="NJP46" s="987"/>
      <c r="NJQ46" s="987"/>
      <c r="NJR46" s="987"/>
      <c r="NJS46" s="987"/>
      <c r="NJT46" s="987"/>
      <c r="NJU46" s="987"/>
      <c r="NJV46" s="987"/>
      <c r="NJW46" s="987"/>
      <c r="NJX46" s="987"/>
      <c r="NJY46" s="987"/>
      <c r="NJZ46" s="987"/>
      <c r="NKA46" s="987"/>
      <c r="NKB46" s="987"/>
      <c r="NKC46" s="987"/>
      <c r="NKD46" s="987"/>
      <c r="NKE46" s="987"/>
      <c r="NKF46" s="987"/>
      <c r="NKG46" s="987"/>
      <c r="NKH46" s="987"/>
      <c r="NKI46" s="987"/>
      <c r="NKJ46" s="987"/>
      <c r="NKK46" s="987"/>
      <c r="NKL46" s="987"/>
      <c r="NKM46" s="987"/>
      <c r="NKN46" s="987"/>
      <c r="NKO46" s="987"/>
      <c r="NKP46" s="987"/>
      <c r="NKQ46" s="987"/>
      <c r="NKR46" s="987"/>
      <c r="NKS46" s="987"/>
      <c r="NKT46" s="987"/>
      <c r="NKU46" s="987"/>
      <c r="NKV46" s="987"/>
      <c r="NKW46" s="987"/>
      <c r="NKX46" s="987"/>
      <c r="NKY46" s="987"/>
      <c r="NKZ46" s="987"/>
      <c r="NLA46" s="987"/>
      <c r="NLB46" s="987"/>
      <c r="NLC46" s="987"/>
      <c r="NLD46" s="987"/>
      <c r="NLE46" s="987"/>
      <c r="NLF46" s="987"/>
      <c r="NLG46" s="987"/>
      <c r="NLH46" s="987"/>
      <c r="NLI46" s="987"/>
      <c r="NLJ46" s="987"/>
      <c r="NLK46" s="987"/>
      <c r="NLL46" s="987"/>
      <c r="NLM46" s="987"/>
      <c r="NLN46" s="987"/>
      <c r="NLO46" s="987"/>
      <c r="NLP46" s="987"/>
      <c r="NLQ46" s="987"/>
      <c r="NLR46" s="987"/>
      <c r="NLS46" s="987"/>
      <c r="NLT46" s="987"/>
      <c r="NLU46" s="987"/>
      <c r="NLV46" s="987"/>
      <c r="NLW46" s="987"/>
      <c r="NLX46" s="987"/>
      <c r="NLY46" s="987"/>
      <c r="NLZ46" s="987"/>
      <c r="NMA46" s="987"/>
      <c r="NMB46" s="987"/>
      <c r="NMC46" s="987"/>
      <c r="NMD46" s="987"/>
      <c r="NME46" s="987"/>
      <c r="NMF46" s="987"/>
      <c r="NMG46" s="987"/>
      <c r="NMH46" s="987"/>
      <c r="NMI46" s="987"/>
      <c r="NMJ46" s="987"/>
      <c r="NMK46" s="987"/>
      <c r="NML46" s="987"/>
      <c r="NMM46" s="987"/>
      <c r="NMN46" s="987"/>
      <c r="NMO46" s="987"/>
      <c r="NMP46" s="987"/>
      <c r="NMQ46" s="987"/>
      <c r="NMR46" s="987"/>
      <c r="NMS46" s="987"/>
      <c r="NMT46" s="987"/>
      <c r="NMU46" s="987"/>
      <c r="NMV46" s="987"/>
      <c r="NMW46" s="987"/>
      <c r="NMX46" s="987"/>
      <c r="NMY46" s="987"/>
      <c r="NMZ46" s="987"/>
      <c r="NNA46" s="987"/>
      <c r="NNB46" s="987"/>
      <c r="NNC46" s="987"/>
      <c r="NND46" s="987"/>
      <c r="NNE46" s="987"/>
      <c r="NNF46" s="987"/>
      <c r="NNG46" s="987"/>
      <c r="NNH46" s="987"/>
      <c r="NNI46" s="987"/>
      <c r="NNJ46" s="987"/>
      <c r="NNK46" s="987"/>
      <c r="NNL46" s="987"/>
      <c r="NNM46" s="987"/>
      <c r="NNN46" s="987"/>
      <c r="NNO46" s="987"/>
      <c r="NNP46" s="987"/>
      <c r="NNQ46" s="987"/>
      <c r="NNR46" s="987"/>
      <c r="NNS46" s="987"/>
      <c r="NNT46" s="987"/>
      <c r="NNU46" s="987"/>
      <c r="NNV46" s="987"/>
      <c r="NNW46" s="987"/>
      <c r="NNX46" s="987"/>
      <c r="NNY46" s="987"/>
      <c r="NNZ46" s="987"/>
      <c r="NOA46" s="987"/>
      <c r="NOB46" s="987"/>
      <c r="NOC46" s="987"/>
      <c r="NOD46" s="987"/>
      <c r="NOE46" s="987"/>
      <c r="NOF46" s="987"/>
      <c r="NOG46" s="987"/>
      <c r="NOH46" s="987"/>
      <c r="NOI46" s="987"/>
      <c r="NOJ46" s="987"/>
      <c r="NOK46" s="987"/>
      <c r="NOL46" s="987"/>
      <c r="NOM46" s="987"/>
      <c r="NON46" s="987"/>
      <c r="NOO46" s="987"/>
      <c r="NOP46" s="987"/>
      <c r="NOQ46" s="987"/>
      <c r="NOR46" s="987"/>
      <c r="NOS46" s="987"/>
      <c r="NOT46" s="987"/>
      <c r="NOU46" s="987"/>
      <c r="NOV46" s="987"/>
      <c r="NOW46" s="987"/>
      <c r="NOX46" s="987"/>
      <c r="NOY46" s="987"/>
      <c r="NOZ46" s="987"/>
      <c r="NPA46" s="987"/>
      <c r="NPB46" s="987"/>
      <c r="NPC46" s="987"/>
      <c r="NPD46" s="987"/>
      <c r="NPE46" s="987"/>
      <c r="NPF46" s="987"/>
      <c r="NPG46" s="987"/>
      <c r="NPH46" s="987"/>
      <c r="NPI46" s="987"/>
      <c r="NPJ46" s="987"/>
      <c r="NPK46" s="987"/>
      <c r="NPL46" s="987"/>
      <c r="NPM46" s="987"/>
      <c r="NPN46" s="987"/>
      <c r="NPO46" s="987"/>
      <c r="NPP46" s="987"/>
      <c r="NPQ46" s="987"/>
      <c r="NPR46" s="987"/>
      <c r="NPS46" s="987"/>
      <c r="NPT46" s="987"/>
      <c r="NPU46" s="987"/>
      <c r="NPV46" s="987"/>
      <c r="NPW46" s="987"/>
      <c r="NPX46" s="987"/>
      <c r="NPY46" s="987"/>
      <c r="NPZ46" s="987"/>
      <c r="NQA46" s="987"/>
      <c r="NQB46" s="987"/>
      <c r="NQC46" s="987"/>
      <c r="NQD46" s="987"/>
      <c r="NQE46" s="987"/>
      <c r="NQF46" s="987"/>
      <c r="NQG46" s="987"/>
      <c r="NQH46" s="987"/>
      <c r="NQI46" s="987"/>
      <c r="NQJ46" s="987"/>
      <c r="NQK46" s="987"/>
      <c r="NQL46" s="987"/>
      <c r="NQM46" s="987"/>
      <c r="NQN46" s="987"/>
      <c r="NQO46" s="987"/>
      <c r="NQP46" s="987"/>
      <c r="NQQ46" s="987"/>
      <c r="NQR46" s="987"/>
      <c r="NQS46" s="987"/>
      <c r="NQT46" s="987"/>
      <c r="NQU46" s="987"/>
      <c r="NQV46" s="987"/>
      <c r="NQW46" s="987"/>
      <c r="NQX46" s="987"/>
      <c r="NQY46" s="987"/>
      <c r="NQZ46" s="987"/>
      <c r="NRA46" s="987"/>
      <c r="NRB46" s="987"/>
      <c r="NRC46" s="987"/>
      <c r="NRD46" s="987"/>
      <c r="NRE46" s="987"/>
      <c r="NRF46" s="987"/>
      <c r="NRG46" s="987"/>
      <c r="NRH46" s="987"/>
      <c r="NRI46" s="987"/>
      <c r="NRJ46" s="987"/>
      <c r="NRK46" s="987"/>
      <c r="NRL46" s="987"/>
      <c r="NRM46" s="987"/>
      <c r="NRN46" s="987"/>
      <c r="NRO46" s="987"/>
      <c r="NRP46" s="987"/>
      <c r="NRQ46" s="987"/>
      <c r="NRR46" s="987"/>
      <c r="NRS46" s="987"/>
      <c r="NRT46" s="987"/>
      <c r="NRU46" s="987"/>
      <c r="NRV46" s="987"/>
      <c r="NRW46" s="987"/>
      <c r="NRX46" s="987"/>
      <c r="NRY46" s="987"/>
      <c r="NRZ46" s="987"/>
      <c r="NSA46" s="987"/>
      <c r="NSB46" s="987"/>
      <c r="NSC46" s="987"/>
      <c r="NSD46" s="987"/>
      <c r="NSE46" s="987"/>
      <c r="NSF46" s="987"/>
      <c r="NSG46" s="987"/>
      <c r="NSH46" s="987"/>
      <c r="NSI46" s="987"/>
      <c r="NSJ46" s="987"/>
      <c r="NSK46" s="987"/>
      <c r="NSL46" s="987"/>
      <c r="NSM46" s="987"/>
      <c r="NSN46" s="987"/>
      <c r="NSO46" s="987"/>
      <c r="NSP46" s="987"/>
      <c r="NSQ46" s="987"/>
      <c r="NSR46" s="987"/>
      <c r="NSS46" s="987"/>
      <c r="NST46" s="987"/>
      <c r="NSU46" s="987"/>
      <c r="NSV46" s="987"/>
      <c r="NSW46" s="987"/>
      <c r="NSX46" s="987"/>
      <c r="NSY46" s="987"/>
      <c r="NSZ46" s="987"/>
      <c r="NTA46" s="987"/>
      <c r="NTB46" s="987"/>
      <c r="NTC46" s="987"/>
      <c r="NTD46" s="987"/>
      <c r="NTE46" s="987"/>
      <c r="NTF46" s="987"/>
      <c r="NTG46" s="987"/>
      <c r="NTH46" s="987"/>
      <c r="NTI46" s="987"/>
      <c r="NTJ46" s="987"/>
      <c r="NTK46" s="987"/>
      <c r="NTL46" s="987"/>
      <c r="NTM46" s="987"/>
      <c r="NTN46" s="987"/>
      <c r="NTO46" s="987"/>
      <c r="NTP46" s="987"/>
      <c r="NTQ46" s="987"/>
      <c r="NTR46" s="987"/>
      <c r="NTS46" s="987"/>
      <c r="NTT46" s="987"/>
      <c r="NTU46" s="987"/>
      <c r="NTV46" s="987"/>
      <c r="NTW46" s="987"/>
      <c r="NTX46" s="987"/>
      <c r="NTY46" s="987"/>
      <c r="NTZ46" s="987"/>
      <c r="NUA46" s="987"/>
      <c r="NUB46" s="987"/>
      <c r="NUC46" s="987"/>
      <c r="NUD46" s="987"/>
      <c r="NUE46" s="987"/>
      <c r="NUF46" s="987"/>
      <c r="NUG46" s="987"/>
      <c r="NUH46" s="987"/>
      <c r="NUI46" s="987"/>
      <c r="NUJ46" s="987"/>
      <c r="NUK46" s="987"/>
      <c r="NUL46" s="987"/>
      <c r="NUM46" s="987"/>
      <c r="NUN46" s="987"/>
      <c r="NUO46" s="987"/>
      <c r="NUP46" s="987"/>
      <c r="NUQ46" s="987"/>
      <c r="NUR46" s="987"/>
      <c r="NUS46" s="987"/>
      <c r="NUT46" s="987"/>
      <c r="NUU46" s="987"/>
      <c r="NUV46" s="987"/>
      <c r="NUW46" s="987"/>
      <c r="NUX46" s="987"/>
      <c r="NUY46" s="987"/>
      <c r="NUZ46" s="987"/>
      <c r="NVA46" s="987"/>
      <c r="NVB46" s="987"/>
      <c r="NVC46" s="987"/>
      <c r="NVD46" s="987"/>
      <c r="NVE46" s="987"/>
      <c r="NVF46" s="987"/>
      <c r="NVG46" s="987"/>
      <c r="NVH46" s="987"/>
      <c r="NVI46" s="987"/>
      <c r="NVJ46" s="987"/>
      <c r="NVK46" s="987"/>
      <c r="NVL46" s="987"/>
      <c r="NVM46" s="987"/>
      <c r="NVN46" s="987"/>
      <c r="NVO46" s="987"/>
      <c r="NVP46" s="987"/>
      <c r="NVQ46" s="987"/>
      <c r="NVR46" s="987"/>
      <c r="NVS46" s="987"/>
      <c r="NVT46" s="987"/>
      <c r="NVU46" s="987"/>
      <c r="NVV46" s="987"/>
      <c r="NVW46" s="987"/>
      <c r="NVX46" s="987"/>
      <c r="NVY46" s="987"/>
      <c r="NVZ46" s="987"/>
      <c r="NWA46" s="987"/>
      <c r="NWB46" s="987"/>
      <c r="NWC46" s="987"/>
      <c r="NWD46" s="987"/>
      <c r="NWE46" s="987"/>
      <c r="NWF46" s="987"/>
      <c r="NWG46" s="987"/>
      <c r="NWH46" s="987"/>
      <c r="NWI46" s="987"/>
      <c r="NWJ46" s="987"/>
      <c r="NWK46" s="987"/>
      <c r="NWL46" s="987"/>
      <c r="NWM46" s="987"/>
      <c r="NWN46" s="987"/>
      <c r="NWO46" s="987"/>
      <c r="NWP46" s="987"/>
      <c r="NWQ46" s="987"/>
      <c r="NWR46" s="987"/>
      <c r="NWS46" s="987"/>
      <c r="NWT46" s="987"/>
      <c r="NWU46" s="987"/>
      <c r="NWV46" s="987"/>
      <c r="NWW46" s="987"/>
      <c r="NWX46" s="987"/>
      <c r="NWY46" s="987"/>
      <c r="NWZ46" s="987"/>
      <c r="NXA46" s="987"/>
      <c r="NXB46" s="987"/>
      <c r="NXC46" s="987"/>
      <c r="NXD46" s="987"/>
      <c r="NXE46" s="987"/>
      <c r="NXF46" s="987"/>
      <c r="NXG46" s="987"/>
      <c r="NXH46" s="987"/>
      <c r="NXI46" s="987"/>
      <c r="NXJ46" s="987"/>
      <c r="NXK46" s="987"/>
      <c r="NXL46" s="987"/>
      <c r="NXM46" s="987"/>
      <c r="NXN46" s="987"/>
      <c r="NXO46" s="987"/>
      <c r="NXP46" s="987"/>
      <c r="NXQ46" s="987"/>
      <c r="NXR46" s="987"/>
      <c r="NXS46" s="987"/>
      <c r="NXT46" s="987"/>
      <c r="NXU46" s="987"/>
      <c r="NXV46" s="987"/>
      <c r="NXW46" s="987"/>
      <c r="NXX46" s="987"/>
      <c r="NXY46" s="987"/>
      <c r="NXZ46" s="987"/>
      <c r="NYA46" s="987"/>
      <c r="NYB46" s="987"/>
      <c r="NYC46" s="987"/>
      <c r="NYD46" s="987"/>
      <c r="NYE46" s="987"/>
      <c r="NYF46" s="987"/>
      <c r="NYG46" s="987"/>
      <c r="NYH46" s="987"/>
      <c r="NYI46" s="987"/>
      <c r="NYJ46" s="987"/>
      <c r="NYK46" s="987"/>
      <c r="NYL46" s="987"/>
      <c r="NYM46" s="987"/>
      <c r="NYN46" s="987"/>
      <c r="NYO46" s="987"/>
      <c r="NYP46" s="987"/>
      <c r="NYQ46" s="987"/>
      <c r="NYR46" s="987"/>
      <c r="NYS46" s="987"/>
      <c r="NYT46" s="987"/>
      <c r="NYU46" s="987"/>
      <c r="NYV46" s="987"/>
      <c r="NYW46" s="987"/>
      <c r="NYX46" s="987"/>
      <c r="NYY46" s="987"/>
      <c r="NYZ46" s="987"/>
      <c r="NZA46" s="987"/>
      <c r="NZB46" s="987"/>
      <c r="NZC46" s="987"/>
      <c r="NZD46" s="987"/>
      <c r="NZE46" s="987"/>
      <c r="NZF46" s="987"/>
      <c r="NZG46" s="987"/>
      <c r="NZH46" s="987"/>
      <c r="NZI46" s="987"/>
      <c r="NZJ46" s="987"/>
      <c r="NZK46" s="987"/>
      <c r="NZL46" s="987"/>
      <c r="NZM46" s="987"/>
      <c r="NZN46" s="987"/>
      <c r="NZO46" s="987"/>
      <c r="NZP46" s="987"/>
      <c r="NZQ46" s="987"/>
      <c r="NZR46" s="987"/>
      <c r="NZS46" s="987"/>
      <c r="NZT46" s="987"/>
      <c r="NZU46" s="987"/>
      <c r="NZV46" s="987"/>
      <c r="NZW46" s="987"/>
      <c r="NZX46" s="987"/>
      <c r="NZY46" s="987"/>
      <c r="NZZ46" s="987"/>
      <c r="OAA46" s="987"/>
      <c r="OAB46" s="987"/>
      <c r="OAC46" s="987"/>
      <c r="OAD46" s="987"/>
      <c r="OAE46" s="987"/>
      <c r="OAF46" s="987"/>
      <c r="OAG46" s="987"/>
      <c r="OAH46" s="987"/>
      <c r="OAI46" s="987"/>
      <c r="OAJ46" s="987"/>
      <c r="OAK46" s="987"/>
      <c r="OAL46" s="987"/>
      <c r="OAM46" s="987"/>
      <c r="OAN46" s="987"/>
      <c r="OAO46" s="987"/>
      <c r="OAP46" s="987"/>
      <c r="OAQ46" s="987"/>
      <c r="OAR46" s="987"/>
      <c r="OAS46" s="987"/>
      <c r="OAT46" s="987"/>
      <c r="OAU46" s="987"/>
      <c r="OAV46" s="987"/>
      <c r="OAW46" s="987"/>
      <c r="OAX46" s="987"/>
      <c r="OAY46" s="987"/>
      <c r="OAZ46" s="987"/>
      <c r="OBA46" s="987"/>
      <c r="OBB46" s="987"/>
      <c r="OBC46" s="987"/>
      <c r="OBD46" s="987"/>
      <c r="OBE46" s="987"/>
      <c r="OBF46" s="987"/>
      <c r="OBG46" s="987"/>
      <c r="OBH46" s="987"/>
      <c r="OBI46" s="987"/>
      <c r="OBJ46" s="987"/>
      <c r="OBK46" s="987"/>
      <c r="OBL46" s="987"/>
      <c r="OBM46" s="987"/>
      <c r="OBN46" s="987"/>
      <c r="OBO46" s="987"/>
      <c r="OBP46" s="987"/>
      <c r="OBQ46" s="987"/>
      <c r="OBR46" s="987"/>
      <c r="OBS46" s="987"/>
      <c r="OBT46" s="987"/>
      <c r="OBU46" s="987"/>
      <c r="OBV46" s="987"/>
      <c r="OBW46" s="987"/>
      <c r="OBX46" s="987"/>
      <c r="OBY46" s="987"/>
      <c r="OBZ46" s="987"/>
      <c r="OCA46" s="987"/>
      <c r="OCB46" s="987"/>
      <c r="OCC46" s="987"/>
      <c r="OCD46" s="987"/>
      <c r="OCE46" s="987"/>
      <c r="OCF46" s="987"/>
      <c r="OCG46" s="987"/>
      <c r="OCH46" s="987"/>
      <c r="OCI46" s="987"/>
      <c r="OCJ46" s="987"/>
      <c r="OCK46" s="987"/>
      <c r="OCL46" s="987"/>
      <c r="OCM46" s="987"/>
      <c r="OCN46" s="987"/>
      <c r="OCO46" s="987"/>
      <c r="OCP46" s="987"/>
      <c r="OCQ46" s="987"/>
      <c r="OCR46" s="987"/>
      <c r="OCS46" s="987"/>
      <c r="OCT46" s="987"/>
      <c r="OCU46" s="987"/>
      <c r="OCV46" s="987"/>
      <c r="OCW46" s="987"/>
      <c r="OCX46" s="987"/>
      <c r="OCY46" s="987"/>
      <c r="OCZ46" s="987"/>
      <c r="ODA46" s="987"/>
      <c r="ODB46" s="987"/>
      <c r="ODC46" s="987"/>
      <c r="ODD46" s="987"/>
      <c r="ODE46" s="987"/>
      <c r="ODF46" s="987"/>
      <c r="ODG46" s="987"/>
      <c r="ODH46" s="987"/>
      <c r="ODI46" s="987"/>
      <c r="ODJ46" s="987"/>
      <c r="ODK46" s="987"/>
      <c r="ODL46" s="987"/>
      <c r="ODM46" s="987"/>
      <c r="ODN46" s="987"/>
      <c r="ODO46" s="987"/>
      <c r="ODP46" s="987"/>
      <c r="ODQ46" s="987"/>
      <c r="ODR46" s="987"/>
      <c r="ODS46" s="987"/>
      <c r="ODT46" s="987"/>
      <c r="ODU46" s="987"/>
      <c r="ODV46" s="987"/>
      <c r="ODW46" s="987"/>
      <c r="ODX46" s="987"/>
      <c r="ODY46" s="987"/>
      <c r="ODZ46" s="987"/>
      <c r="OEA46" s="987"/>
      <c r="OEB46" s="987"/>
      <c r="OEC46" s="987"/>
      <c r="OED46" s="987"/>
      <c r="OEE46" s="987"/>
      <c r="OEF46" s="987"/>
      <c r="OEG46" s="987"/>
      <c r="OEH46" s="987"/>
      <c r="OEI46" s="987"/>
      <c r="OEJ46" s="987"/>
      <c r="OEK46" s="987"/>
      <c r="OEL46" s="987"/>
      <c r="OEM46" s="987"/>
      <c r="OEN46" s="987"/>
      <c r="OEO46" s="987"/>
      <c r="OEP46" s="987"/>
      <c r="OEQ46" s="987"/>
      <c r="OER46" s="987"/>
      <c r="OES46" s="987"/>
      <c r="OET46" s="987"/>
      <c r="OEU46" s="987"/>
      <c r="OEV46" s="987"/>
      <c r="OEW46" s="987"/>
      <c r="OEX46" s="987"/>
      <c r="OEY46" s="987"/>
      <c r="OEZ46" s="987"/>
      <c r="OFA46" s="987"/>
      <c r="OFB46" s="987"/>
      <c r="OFC46" s="987"/>
      <c r="OFD46" s="987"/>
      <c r="OFE46" s="987"/>
      <c r="OFF46" s="987"/>
      <c r="OFG46" s="987"/>
      <c r="OFH46" s="987"/>
      <c r="OFI46" s="987"/>
      <c r="OFJ46" s="987"/>
      <c r="OFK46" s="987"/>
      <c r="OFL46" s="987"/>
      <c r="OFM46" s="987"/>
      <c r="OFN46" s="987"/>
      <c r="OFO46" s="987"/>
      <c r="OFP46" s="987"/>
      <c r="OFQ46" s="987"/>
      <c r="OFR46" s="987"/>
      <c r="OFS46" s="987"/>
      <c r="OFT46" s="987"/>
      <c r="OFU46" s="987"/>
      <c r="OFV46" s="987"/>
      <c r="OFW46" s="987"/>
      <c r="OFX46" s="987"/>
      <c r="OFY46" s="987"/>
      <c r="OFZ46" s="987"/>
      <c r="OGA46" s="987"/>
      <c r="OGB46" s="987"/>
      <c r="OGC46" s="987"/>
      <c r="OGD46" s="987"/>
      <c r="OGE46" s="987"/>
      <c r="OGF46" s="987"/>
      <c r="OGG46" s="987"/>
      <c r="OGH46" s="987"/>
      <c r="OGI46" s="987"/>
      <c r="OGJ46" s="987"/>
      <c r="OGK46" s="987"/>
      <c r="OGL46" s="987"/>
      <c r="OGM46" s="987"/>
      <c r="OGN46" s="987"/>
      <c r="OGO46" s="987"/>
      <c r="OGP46" s="987"/>
      <c r="OGQ46" s="987"/>
      <c r="OGR46" s="987"/>
      <c r="OGS46" s="987"/>
      <c r="OGT46" s="987"/>
      <c r="OGU46" s="987"/>
      <c r="OGV46" s="987"/>
      <c r="OGW46" s="987"/>
      <c r="OGX46" s="987"/>
      <c r="OGY46" s="987"/>
      <c r="OGZ46" s="987"/>
      <c r="OHA46" s="987"/>
      <c r="OHB46" s="987"/>
      <c r="OHC46" s="987"/>
      <c r="OHD46" s="987"/>
      <c r="OHE46" s="987"/>
      <c r="OHF46" s="987"/>
      <c r="OHG46" s="987"/>
      <c r="OHH46" s="987"/>
      <c r="OHI46" s="987"/>
      <c r="OHJ46" s="987"/>
      <c r="OHK46" s="987"/>
      <c r="OHL46" s="987"/>
      <c r="OHM46" s="987"/>
      <c r="OHN46" s="987"/>
      <c r="OHO46" s="987"/>
      <c r="OHP46" s="987"/>
      <c r="OHQ46" s="987"/>
      <c r="OHR46" s="987"/>
      <c r="OHS46" s="987"/>
      <c r="OHT46" s="987"/>
      <c r="OHU46" s="987"/>
      <c r="OHV46" s="987"/>
      <c r="OHW46" s="987"/>
      <c r="OHX46" s="987"/>
      <c r="OHY46" s="987"/>
      <c r="OHZ46" s="987"/>
      <c r="OIA46" s="987"/>
      <c r="OIB46" s="987"/>
      <c r="OIC46" s="987"/>
      <c r="OID46" s="987"/>
      <c r="OIE46" s="987"/>
      <c r="OIF46" s="987"/>
      <c r="OIG46" s="987"/>
      <c r="OIH46" s="987"/>
      <c r="OII46" s="987"/>
      <c r="OIJ46" s="987"/>
      <c r="OIK46" s="987"/>
      <c r="OIL46" s="987"/>
      <c r="OIM46" s="987"/>
      <c r="OIN46" s="987"/>
      <c r="OIO46" s="987"/>
      <c r="OIP46" s="987"/>
      <c r="OIQ46" s="987"/>
      <c r="OIR46" s="987"/>
      <c r="OIS46" s="987"/>
      <c r="OIT46" s="987"/>
      <c r="OIU46" s="987"/>
      <c r="OIV46" s="987"/>
      <c r="OIW46" s="987"/>
      <c r="OIX46" s="987"/>
      <c r="OIY46" s="987"/>
      <c r="OIZ46" s="987"/>
      <c r="OJA46" s="987"/>
      <c r="OJB46" s="987"/>
      <c r="OJC46" s="987"/>
      <c r="OJD46" s="987"/>
      <c r="OJE46" s="987"/>
      <c r="OJF46" s="987"/>
      <c r="OJG46" s="987"/>
      <c r="OJH46" s="987"/>
      <c r="OJI46" s="987"/>
      <c r="OJJ46" s="987"/>
      <c r="OJK46" s="987"/>
      <c r="OJL46" s="987"/>
      <c r="OJM46" s="987"/>
      <c r="OJN46" s="987"/>
      <c r="OJO46" s="987"/>
      <c r="OJP46" s="987"/>
      <c r="OJQ46" s="987"/>
      <c r="OJR46" s="987"/>
      <c r="OJS46" s="987"/>
      <c r="OJT46" s="987"/>
      <c r="OJU46" s="987"/>
      <c r="OJV46" s="987"/>
      <c r="OJW46" s="987"/>
      <c r="OJX46" s="987"/>
      <c r="OJY46" s="987"/>
      <c r="OJZ46" s="987"/>
      <c r="OKA46" s="987"/>
      <c r="OKB46" s="987"/>
      <c r="OKC46" s="987"/>
      <c r="OKD46" s="987"/>
      <c r="OKE46" s="987"/>
      <c r="OKF46" s="987"/>
      <c r="OKG46" s="987"/>
      <c r="OKH46" s="987"/>
      <c r="OKI46" s="987"/>
      <c r="OKJ46" s="987"/>
      <c r="OKK46" s="987"/>
      <c r="OKL46" s="987"/>
      <c r="OKM46" s="987"/>
      <c r="OKN46" s="987"/>
      <c r="OKO46" s="987"/>
      <c r="OKP46" s="987"/>
      <c r="OKQ46" s="987"/>
      <c r="OKR46" s="987"/>
      <c r="OKS46" s="987"/>
      <c r="OKT46" s="987"/>
      <c r="OKU46" s="987"/>
      <c r="OKV46" s="987"/>
      <c r="OKW46" s="987"/>
      <c r="OKX46" s="987"/>
      <c r="OKY46" s="987"/>
      <c r="OKZ46" s="987"/>
      <c r="OLA46" s="987"/>
      <c r="OLB46" s="987"/>
      <c r="OLC46" s="987"/>
      <c r="OLD46" s="987"/>
      <c r="OLE46" s="987"/>
      <c r="OLF46" s="987"/>
      <c r="OLG46" s="987"/>
      <c r="OLH46" s="987"/>
      <c r="OLI46" s="987"/>
      <c r="OLJ46" s="987"/>
      <c r="OLK46" s="987"/>
      <c r="OLL46" s="987"/>
      <c r="OLM46" s="987"/>
      <c r="OLN46" s="987"/>
      <c r="OLO46" s="987"/>
      <c r="OLP46" s="987"/>
      <c r="OLQ46" s="987"/>
      <c r="OLR46" s="987"/>
      <c r="OLS46" s="987"/>
      <c r="OLT46" s="987"/>
      <c r="OLU46" s="987"/>
      <c r="OLV46" s="987"/>
      <c r="OLW46" s="987"/>
      <c r="OLX46" s="987"/>
      <c r="OLY46" s="987"/>
      <c r="OLZ46" s="987"/>
      <c r="OMA46" s="987"/>
      <c r="OMB46" s="987"/>
      <c r="OMC46" s="987"/>
      <c r="OMD46" s="987"/>
      <c r="OME46" s="987"/>
      <c r="OMF46" s="987"/>
      <c r="OMG46" s="987"/>
      <c r="OMH46" s="987"/>
      <c r="OMI46" s="987"/>
      <c r="OMJ46" s="987"/>
      <c r="OMK46" s="987"/>
      <c r="OML46" s="987"/>
      <c r="OMM46" s="987"/>
      <c r="OMN46" s="987"/>
      <c r="OMO46" s="987"/>
      <c r="OMP46" s="987"/>
      <c r="OMQ46" s="987"/>
      <c r="OMR46" s="987"/>
      <c r="OMS46" s="987"/>
      <c r="OMT46" s="987"/>
      <c r="OMU46" s="987"/>
      <c r="OMV46" s="987"/>
      <c r="OMW46" s="987"/>
      <c r="OMX46" s="987"/>
      <c r="OMY46" s="987"/>
      <c r="OMZ46" s="987"/>
      <c r="ONA46" s="987"/>
      <c r="ONB46" s="987"/>
      <c r="ONC46" s="987"/>
      <c r="OND46" s="987"/>
      <c r="ONE46" s="987"/>
      <c r="ONF46" s="987"/>
      <c r="ONG46" s="987"/>
      <c r="ONH46" s="987"/>
      <c r="ONI46" s="987"/>
      <c r="ONJ46" s="987"/>
      <c r="ONK46" s="987"/>
      <c r="ONL46" s="987"/>
      <c r="ONM46" s="987"/>
      <c r="ONN46" s="987"/>
      <c r="ONO46" s="987"/>
      <c r="ONP46" s="987"/>
      <c r="ONQ46" s="987"/>
      <c r="ONR46" s="987"/>
      <c r="ONS46" s="987"/>
      <c r="ONT46" s="987"/>
      <c r="ONU46" s="987"/>
      <c r="ONV46" s="987"/>
      <c r="ONW46" s="987"/>
      <c r="ONX46" s="987"/>
      <c r="ONY46" s="987"/>
      <c r="ONZ46" s="987"/>
      <c r="OOA46" s="987"/>
      <c r="OOB46" s="987"/>
      <c r="OOC46" s="987"/>
      <c r="OOD46" s="987"/>
      <c r="OOE46" s="987"/>
      <c r="OOF46" s="987"/>
      <c r="OOG46" s="987"/>
      <c r="OOH46" s="987"/>
      <c r="OOI46" s="987"/>
      <c r="OOJ46" s="987"/>
      <c r="OOK46" s="987"/>
      <c r="OOL46" s="987"/>
      <c r="OOM46" s="987"/>
      <c r="OON46" s="987"/>
      <c r="OOO46" s="987"/>
      <c r="OOP46" s="987"/>
      <c r="OOQ46" s="987"/>
      <c r="OOR46" s="987"/>
      <c r="OOS46" s="987"/>
      <c r="OOT46" s="987"/>
      <c r="OOU46" s="987"/>
      <c r="OOV46" s="987"/>
      <c r="OOW46" s="987"/>
      <c r="OOX46" s="987"/>
      <c r="OOY46" s="987"/>
      <c r="OOZ46" s="987"/>
      <c r="OPA46" s="987"/>
      <c r="OPB46" s="987"/>
      <c r="OPC46" s="987"/>
      <c r="OPD46" s="987"/>
      <c r="OPE46" s="987"/>
      <c r="OPF46" s="987"/>
      <c r="OPG46" s="987"/>
      <c r="OPH46" s="987"/>
      <c r="OPI46" s="987"/>
      <c r="OPJ46" s="987"/>
      <c r="OPK46" s="987"/>
      <c r="OPL46" s="987"/>
      <c r="OPM46" s="987"/>
      <c r="OPN46" s="987"/>
      <c r="OPO46" s="987"/>
      <c r="OPP46" s="987"/>
      <c r="OPQ46" s="987"/>
      <c r="OPR46" s="987"/>
      <c r="OPS46" s="987"/>
      <c r="OPT46" s="987"/>
      <c r="OPU46" s="987"/>
      <c r="OPV46" s="987"/>
      <c r="OPW46" s="987"/>
      <c r="OPX46" s="987"/>
      <c r="OPY46" s="987"/>
      <c r="OPZ46" s="987"/>
      <c r="OQA46" s="987"/>
      <c r="OQB46" s="987"/>
      <c r="OQC46" s="987"/>
      <c r="OQD46" s="987"/>
      <c r="OQE46" s="987"/>
      <c r="OQF46" s="987"/>
      <c r="OQG46" s="987"/>
      <c r="OQH46" s="987"/>
      <c r="OQI46" s="987"/>
      <c r="OQJ46" s="987"/>
      <c r="OQK46" s="987"/>
      <c r="OQL46" s="987"/>
      <c r="OQM46" s="987"/>
      <c r="OQN46" s="987"/>
      <c r="OQO46" s="987"/>
      <c r="OQP46" s="987"/>
      <c r="OQQ46" s="987"/>
      <c r="OQR46" s="987"/>
      <c r="OQS46" s="987"/>
      <c r="OQT46" s="987"/>
      <c r="OQU46" s="987"/>
      <c r="OQV46" s="987"/>
      <c r="OQW46" s="987"/>
      <c r="OQX46" s="987"/>
      <c r="OQY46" s="987"/>
      <c r="OQZ46" s="987"/>
      <c r="ORA46" s="987"/>
      <c r="ORB46" s="987"/>
      <c r="ORC46" s="987"/>
      <c r="ORD46" s="987"/>
      <c r="ORE46" s="987"/>
      <c r="ORF46" s="987"/>
      <c r="ORG46" s="987"/>
      <c r="ORH46" s="987"/>
      <c r="ORI46" s="987"/>
      <c r="ORJ46" s="987"/>
      <c r="ORK46" s="987"/>
      <c r="ORL46" s="987"/>
      <c r="ORM46" s="987"/>
      <c r="ORN46" s="987"/>
      <c r="ORO46" s="987"/>
      <c r="ORP46" s="987"/>
      <c r="ORQ46" s="987"/>
      <c r="ORR46" s="987"/>
      <c r="ORS46" s="987"/>
      <c r="ORT46" s="987"/>
      <c r="ORU46" s="987"/>
      <c r="ORV46" s="987"/>
      <c r="ORW46" s="987"/>
      <c r="ORX46" s="987"/>
      <c r="ORY46" s="987"/>
      <c r="ORZ46" s="987"/>
      <c r="OSA46" s="987"/>
      <c r="OSB46" s="987"/>
      <c r="OSC46" s="987"/>
      <c r="OSD46" s="987"/>
      <c r="OSE46" s="987"/>
      <c r="OSF46" s="987"/>
      <c r="OSG46" s="987"/>
      <c r="OSH46" s="987"/>
      <c r="OSI46" s="987"/>
      <c r="OSJ46" s="987"/>
      <c r="OSK46" s="987"/>
      <c r="OSL46" s="987"/>
      <c r="OSM46" s="987"/>
      <c r="OSN46" s="987"/>
      <c r="OSO46" s="987"/>
      <c r="OSP46" s="987"/>
      <c r="OSQ46" s="987"/>
      <c r="OSR46" s="987"/>
      <c r="OSS46" s="987"/>
      <c r="OST46" s="987"/>
      <c r="OSU46" s="987"/>
      <c r="OSV46" s="987"/>
      <c r="OSW46" s="987"/>
      <c r="OSX46" s="987"/>
      <c r="OSY46" s="987"/>
      <c r="OSZ46" s="987"/>
      <c r="OTA46" s="987"/>
      <c r="OTB46" s="987"/>
      <c r="OTC46" s="987"/>
      <c r="OTD46" s="987"/>
      <c r="OTE46" s="987"/>
      <c r="OTF46" s="987"/>
      <c r="OTG46" s="987"/>
      <c r="OTH46" s="987"/>
      <c r="OTI46" s="987"/>
      <c r="OTJ46" s="987"/>
      <c r="OTK46" s="987"/>
      <c r="OTL46" s="987"/>
      <c r="OTM46" s="987"/>
      <c r="OTN46" s="987"/>
      <c r="OTO46" s="987"/>
      <c r="OTP46" s="987"/>
      <c r="OTQ46" s="987"/>
      <c r="OTR46" s="987"/>
      <c r="OTS46" s="987"/>
      <c r="OTT46" s="987"/>
      <c r="OTU46" s="987"/>
      <c r="OTV46" s="987"/>
      <c r="OTW46" s="987"/>
      <c r="OTX46" s="987"/>
      <c r="OTY46" s="987"/>
      <c r="OTZ46" s="987"/>
      <c r="OUA46" s="987"/>
      <c r="OUB46" s="987"/>
      <c r="OUC46" s="987"/>
      <c r="OUD46" s="987"/>
      <c r="OUE46" s="987"/>
      <c r="OUF46" s="987"/>
      <c r="OUG46" s="987"/>
      <c r="OUH46" s="987"/>
      <c r="OUI46" s="987"/>
      <c r="OUJ46" s="987"/>
      <c r="OUK46" s="987"/>
      <c r="OUL46" s="987"/>
      <c r="OUM46" s="987"/>
      <c r="OUN46" s="987"/>
      <c r="OUO46" s="987"/>
      <c r="OUP46" s="987"/>
      <c r="OUQ46" s="987"/>
      <c r="OUR46" s="987"/>
      <c r="OUS46" s="987"/>
      <c r="OUT46" s="987"/>
      <c r="OUU46" s="987"/>
      <c r="OUV46" s="987"/>
      <c r="OUW46" s="987"/>
      <c r="OUX46" s="987"/>
      <c r="OUY46" s="987"/>
      <c r="OUZ46" s="987"/>
      <c r="OVA46" s="987"/>
      <c r="OVB46" s="987"/>
      <c r="OVC46" s="987"/>
      <c r="OVD46" s="987"/>
      <c r="OVE46" s="987"/>
      <c r="OVF46" s="987"/>
      <c r="OVG46" s="987"/>
      <c r="OVH46" s="987"/>
      <c r="OVI46" s="987"/>
      <c r="OVJ46" s="987"/>
      <c r="OVK46" s="987"/>
      <c r="OVL46" s="987"/>
      <c r="OVM46" s="987"/>
      <c r="OVN46" s="987"/>
      <c r="OVO46" s="987"/>
      <c r="OVP46" s="987"/>
      <c r="OVQ46" s="987"/>
      <c r="OVR46" s="987"/>
      <c r="OVS46" s="987"/>
      <c r="OVT46" s="987"/>
      <c r="OVU46" s="987"/>
      <c r="OVV46" s="987"/>
      <c r="OVW46" s="987"/>
      <c r="OVX46" s="987"/>
      <c r="OVY46" s="987"/>
      <c r="OVZ46" s="987"/>
      <c r="OWA46" s="987"/>
      <c r="OWB46" s="987"/>
      <c r="OWC46" s="987"/>
      <c r="OWD46" s="987"/>
      <c r="OWE46" s="987"/>
      <c r="OWF46" s="987"/>
      <c r="OWG46" s="987"/>
      <c r="OWH46" s="987"/>
      <c r="OWI46" s="987"/>
      <c r="OWJ46" s="987"/>
      <c r="OWK46" s="987"/>
      <c r="OWL46" s="987"/>
      <c r="OWM46" s="987"/>
      <c r="OWN46" s="987"/>
      <c r="OWO46" s="987"/>
      <c r="OWP46" s="987"/>
      <c r="OWQ46" s="987"/>
      <c r="OWR46" s="987"/>
      <c r="OWS46" s="987"/>
      <c r="OWT46" s="987"/>
      <c r="OWU46" s="987"/>
      <c r="OWV46" s="987"/>
      <c r="OWW46" s="987"/>
      <c r="OWX46" s="987"/>
      <c r="OWY46" s="987"/>
      <c r="OWZ46" s="987"/>
      <c r="OXA46" s="987"/>
      <c r="OXB46" s="987"/>
      <c r="OXC46" s="987"/>
      <c r="OXD46" s="987"/>
      <c r="OXE46" s="987"/>
      <c r="OXF46" s="987"/>
      <c r="OXG46" s="987"/>
      <c r="OXH46" s="987"/>
      <c r="OXI46" s="987"/>
      <c r="OXJ46" s="987"/>
      <c r="OXK46" s="987"/>
      <c r="OXL46" s="987"/>
      <c r="OXM46" s="987"/>
      <c r="OXN46" s="987"/>
      <c r="OXO46" s="987"/>
      <c r="OXP46" s="987"/>
      <c r="OXQ46" s="987"/>
      <c r="OXR46" s="987"/>
      <c r="OXS46" s="987"/>
      <c r="OXT46" s="987"/>
      <c r="OXU46" s="987"/>
      <c r="OXV46" s="987"/>
      <c r="OXW46" s="987"/>
      <c r="OXX46" s="987"/>
      <c r="OXY46" s="987"/>
      <c r="OXZ46" s="987"/>
      <c r="OYA46" s="987"/>
      <c r="OYB46" s="987"/>
      <c r="OYC46" s="987"/>
      <c r="OYD46" s="987"/>
      <c r="OYE46" s="987"/>
      <c r="OYF46" s="987"/>
      <c r="OYG46" s="987"/>
      <c r="OYH46" s="987"/>
      <c r="OYI46" s="987"/>
      <c r="OYJ46" s="987"/>
      <c r="OYK46" s="987"/>
      <c r="OYL46" s="987"/>
      <c r="OYM46" s="987"/>
      <c r="OYN46" s="987"/>
      <c r="OYO46" s="987"/>
      <c r="OYP46" s="987"/>
      <c r="OYQ46" s="987"/>
      <c r="OYR46" s="987"/>
      <c r="OYS46" s="987"/>
      <c r="OYT46" s="987"/>
      <c r="OYU46" s="987"/>
      <c r="OYV46" s="987"/>
      <c r="OYW46" s="987"/>
      <c r="OYX46" s="987"/>
      <c r="OYY46" s="987"/>
      <c r="OYZ46" s="987"/>
      <c r="OZA46" s="987"/>
      <c r="OZB46" s="987"/>
      <c r="OZC46" s="987"/>
      <c r="OZD46" s="987"/>
      <c r="OZE46" s="987"/>
      <c r="OZF46" s="987"/>
      <c r="OZG46" s="987"/>
      <c r="OZH46" s="987"/>
      <c r="OZI46" s="987"/>
      <c r="OZJ46" s="987"/>
      <c r="OZK46" s="987"/>
      <c r="OZL46" s="987"/>
      <c r="OZM46" s="987"/>
      <c r="OZN46" s="987"/>
      <c r="OZO46" s="987"/>
      <c r="OZP46" s="987"/>
      <c r="OZQ46" s="987"/>
      <c r="OZR46" s="987"/>
      <c r="OZS46" s="987"/>
      <c r="OZT46" s="987"/>
      <c r="OZU46" s="987"/>
      <c r="OZV46" s="987"/>
      <c r="OZW46" s="987"/>
      <c r="OZX46" s="987"/>
      <c r="OZY46" s="987"/>
      <c r="OZZ46" s="987"/>
      <c r="PAA46" s="987"/>
      <c r="PAB46" s="987"/>
      <c r="PAC46" s="987"/>
      <c r="PAD46" s="987"/>
      <c r="PAE46" s="987"/>
      <c r="PAF46" s="987"/>
      <c r="PAG46" s="987"/>
      <c r="PAH46" s="987"/>
      <c r="PAI46" s="987"/>
      <c r="PAJ46" s="987"/>
      <c r="PAK46" s="987"/>
      <c r="PAL46" s="987"/>
      <c r="PAM46" s="987"/>
      <c r="PAN46" s="987"/>
      <c r="PAO46" s="987"/>
      <c r="PAP46" s="987"/>
      <c r="PAQ46" s="987"/>
      <c r="PAR46" s="987"/>
      <c r="PAS46" s="987"/>
      <c r="PAT46" s="987"/>
      <c r="PAU46" s="987"/>
      <c r="PAV46" s="987"/>
      <c r="PAW46" s="987"/>
      <c r="PAX46" s="987"/>
      <c r="PAY46" s="987"/>
      <c r="PAZ46" s="987"/>
      <c r="PBA46" s="987"/>
      <c r="PBB46" s="987"/>
      <c r="PBC46" s="987"/>
      <c r="PBD46" s="987"/>
      <c r="PBE46" s="987"/>
      <c r="PBF46" s="987"/>
      <c r="PBG46" s="987"/>
      <c r="PBH46" s="987"/>
      <c r="PBI46" s="987"/>
      <c r="PBJ46" s="987"/>
      <c r="PBK46" s="987"/>
      <c r="PBL46" s="987"/>
      <c r="PBM46" s="987"/>
      <c r="PBN46" s="987"/>
      <c r="PBO46" s="987"/>
      <c r="PBP46" s="987"/>
      <c r="PBQ46" s="987"/>
      <c r="PBR46" s="987"/>
      <c r="PBS46" s="987"/>
      <c r="PBT46" s="987"/>
      <c r="PBU46" s="987"/>
      <c r="PBV46" s="987"/>
      <c r="PBW46" s="987"/>
      <c r="PBX46" s="987"/>
      <c r="PBY46" s="987"/>
      <c r="PBZ46" s="987"/>
      <c r="PCA46" s="987"/>
      <c r="PCB46" s="987"/>
      <c r="PCC46" s="987"/>
      <c r="PCD46" s="987"/>
      <c r="PCE46" s="987"/>
      <c r="PCF46" s="987"/>
      <c r="PCG46" s="987"/>
      <c r="PCH46" s="987"/>
      <c r="PCI46" s="987"/>
      <c r="PCJ46" s="987"/>
      <c r="PCK46" s="987"/>
      <c r="PCL46" s="987"/>
      <c r="PCM46" s="987"/>
      <c r="PCN46" s="987"/>
      <c r="PCO46" s="987"/>
      <c r="PCP46" s="987"/>
      <c r="PCQ46" s="987"/>
      <c r="PCR46" s="987"/>
      <c r="PCS46" s="987"/>
      <c r="PCT46" s="987"/>
      <c r="PCU46" s="987"/>
      <c r="PCV46" s="987"/>
      <c r="PCW46" s="987"/>
      <c r="PCX46" s="987"/>
      <c r="PCY46" s="987"/>
      <c r="PCZ46" s="987"/>
      <c r="PDA46" s="987"/>
      <c r="PDB46" s="987"/>
      <c r="PDC46" s="987"/>
      <c r="PDD46" s="987"/>
      <c r="PDE46" s="987"/>
      <c r="PDF46" s="987"/>
      <c r="PDG46" s="987"/>
      <c r="PDH46" s="987"/>
      <c r="PDI46" s="987"/>
      <c r="PDJ46" s="987"/>
      <c r="PDK46" s="987"/>
      <c r="PDL46" s="987"/>
      <c r="PDM46" s="987"/>
      <c r="PDN46" s="987"/>
      <c r="PDO46" s="987"/>
      <c r="PDP46" s="987"/>
      <c r="PDQ46" s="987"/>
      <c r="PDR46" s="987"/>
      <c r="PDS46" s="987"/>
      <c r="PDT46" s="987"/>
      <c r="PDU46" s="987"/>
      <c r="PDV46" s="987"/>
      <c r="PDW46" s="987"/>
      <c r="PDX46" s="987"/>
      <c r="PDY46" s="987"/>
      <c r="PDZ46" s="987"/>
      <c r="PEA46" s="987"/>
      <c r="PEB46" s="987"/>
      <c r="PEC46" s="987"/>
      <c r="PED46" s="987"/>
      <c r="PEE46" s="987"/>
      <c r="PEF46" s="987"/>
      <c r="PEG46" s="987"/>
      <c r="PEH46" s="987"/>
      <c r="PEI46" s="987"/>
      <c r="PEJ46" s="987"/>
      <c r="PEK46" s="987"/>
      <c r="PEL46" s="987"/>
      <c r="PEM46" s="987"/>
      <c r="PEN46" s="987"/>
      <c r="PEO46" s="987"/>
      <c r="PEP46" s="987"/>
      <c r="PEQ46" s="987"/>
      <c r="PER46" s="987"/>
      <c r="PES46" s="987"/>
      <c r="PET46" s="987"/>
      <c r="PEU46" s="987"/>
      <c r="PEV46" s="987"/>
      <c r="PEW46" s="987"/>
      <c r="PEX46" s="987"/>
      <c r="PEY46" s="987"/>
      <c r="PEZ46" s="987"/>
      <c r="PFA46" s="987"/>
      <c r="PFB46" s="987"/>
      <c r="PFC46" s="987"/>
      <c r="PFD46" s="987"/>
      <c r="PFE46" s="987"/>
      <c r="PFF46" s="987"/>
      <c r="PFG46" s="987"/>
      <c r="PFH46" s="987"/>
      <c r="PFI46" s="987"/>
      <c r="PFJ46" s="987"/>
      <c r="PFK46" s="987"/>
      <c r="PFL46" s="987"/>
      <c r="PFM46" s="987"/>
      <c r="PFN46" s="987"/>
      <c r="PFO46" s="987"/>
      <c r="PFP46" s="987"/>
      <c r="PFQ46" s="987"/>
      <c r="PFR46" s="987"/>
      <c r="PFS46" s="987"/>
      <c r="PFT46" s="987"/>
      <c r="PFU46" s="987"/>
      <c r="PFV46" s="987"/>
      <c r="PFW46" s="987"/>
      <c r="PFX46" s="987"/>
      <c r="PFY46" s="987"/>
      <c r="PFZ46" s="987"/>
      <c r="PGA46" s="987"/>
      <c r="PGB46" s="987"/>
      <c r="PGC46" s="987"/>
      <c r="PGD46" s="987"/>
      <c r="PGE46" s="987"/>
      <c r="PGF46" s="987"/>
      <c r="PGG46" s="987"/>
      <c r="PGH46" s="987"/>
      <c r="PGI46" s="987"/>
      <c r="PGJ46" s="987"/>
      <c r="PGK46" s="987"/>
      <c r="PGL46" s="987"/>
      <c r="PGM46" s="987"/>
      <c r="PGN46" s="987"/>
      <c r="PGO46" s="987"/>
      <c r="PGP46" s="987"/>
      <c r="PGQ46" s="987"/>
      <c r="PGR46" s="987"/>
      <c r="PGS46" s="987"/>
      <c r="PGT46" s="987"/>
      <c r="PGU46" s="987"/>
      <c r="PGV46" s="987"/>
      <c r="PGW46" s="987"/>
      <c r="PGX46" s="987"/>
      <c r="PGY46" s="987"/>
      <c r="PGZ46" s="987"/>
      <c r="PHA46" s="987"/>
      <c r="PHB46" s="987"/>
      <c r="PHC46" s="987"/>
      <c r="PHD46" s="987"/>
      <c r="PHE46" s="987"/>
      <c r="PHF46" s="987"/>
      <c r="PHG46" s="987"/>
      <c r="PHH46" s="987"/>
      <c r="PHI46" s="987"/>
      <c r="PHJ46" s="987"/>
      <c r="PHK46" s="987"/>
      <c r="PHL46" s="987"/>
      <c r="PHM46" s="987"/>
      <c r="PHN46" s="987"/>
      <c r="PHO46" s="987"/>
      <c r="PHP46" s="987"/>
      <c r="PHQ46" s="987"/>
      <c r="PHR46" s="987"/>
      <c r="PHS46" s="987"/>
      <c r="PHT46" s="987"/>
      <c r="PHU46" s="987"/>
      <c r="PHV46" s="987"/>
      <c r="PHW46" s="987"/>
      <c r="PHX46" s="987"/>
      <c r="PHY46" s="987"/>
      <c r="PHZ46" s="987"/>
      <c r="PIA46" s="987"/>
      <c r="PIB46" s="987"/>
      <c r="PIC46" s="987"/>
      <c r="PID46" s="987"/>
      <c r="PIE46" s="987"/>
      <c r="PIF46" s="987"/>
      <c r="PIG46" s="987"/>
      <c r="PIH46" s="987"/>
      <c r="PII46" s="987"/>
      <c r="PIJ46" s="987"/>
      <c r="PIK46" s="987"/>
      <c r="PIL46" s="987"/>
      <c r="PIM46" s="987"/>
      <c r="PIN46" s="987"/>
      <c r="PIO46" s="987"/>
      <c r="PIP46" s="987"/>
      <c r="PIQ46" s="987"/>
      <c r="PIR46" s="987"/>
      <c r="PIS46" s="987"/>
      <c r="PIT46" s="987"/>
      <c r="PIU46" s="987"/>
      <c r="PIV46" s="987"/>
      <c r="PIW46" s="987"/>
      <c r="PIX46" s="987"/>
      <c r="PIY46" s="987"/>
      <c r="PIZ46" s="987"/>
      <c r="PJA46" s="987"/>
      <c r="PJB46" s="987"/>
      <c r="PJC46" s="987"/>
      <c r="PJD46" s="987"/>
      <c r="PJE46" s="987"/>
      <c r="PJF46" s="987"/>
      <c r="PJG46" s="987"/>
      <c r="PJH46" s="987"/>
      <c r="PJI46" s="987"/>
      <c r="PJJ46" s="987"/>
      <c r="PJK46" s="987"/>
      <c r="PJL46" s="987"/>
      <c r="PJM46" s="987"/>
      <c r="PJN46" s="987"/>
      <c r="PJO46" s="987"/>
      <c r="PJP46" s="987"/>
      <c r="PJQ46" s="987"/>
      <c r="PJR46" s="987"/>
      <c r="PJS46" s="987"/>
      <c r="PJT46" s="987"/>
      <c r="PJU46" s="987"/>
      <c r="PJV46" s="987"/>
      <c r="PJW46" s="987"/>
      <c r="PJX46" s="987"/>
      <c r="PJY46" s="987"/>
      <c r="PJZ46" s="987"/>
      <c r="PKA46" s="987"/>
      <c r="PKB46" s="987"/>
      <c r="PKC46" s="987"/>
      <c r="PKD46" s="987"/>
      <c r="PKE46" s="987"/>
      <c r="PKF46" s="987"/>
      <c r="PKG46" s="987"/>
      <c r="PKH46" s="987"/>
      <c r="PKI46" s="987"/>
      <c r="PKJ46" s="987"/>
      <c r="PKK46" s="987"/>
      <c r="PKL46" s="987"/>
      <c r="PKM46" s="987"/>
      <c r="PKN46" s="987"/>
      <c r="PKO46" s="987"/>
      <c r="PKP46" s="987"/>
      <c r="PKQ46" s="987"/>
      <c r="PKR46" s="987"/>
      <c r="PKS46" s="987"/>
      <c r="PKT46" s="987"/>
      <c r="PKU46" s="987"/>
      <c r="PKV46" s="987"/>
      <c r="PKW46" s="987"/>
      <c r="PKX46" s="987"/>
      <c r="PKY46" s="987"/>
      <c r="PKZ46" s="987"/>
      <c r="PLA46" s="987"/>
      <c r="PLB46" s="987"/>
      <c r="PLC46" s="987"/>
      <c r="PLD46" s="987"/>
      <c r="PLE46" s="987"/>
      <c r="PLF46" s="987"/>
      <c r="PLG46" s="987"/>
      <c r="PLH46" s="987"/>
      <c r="PLI46" s="987"/>
      <c r="PLJ46" s="987"/>
      <c r="PLK46" s="987"/>
      <c r="PLL46" s="987"/>
      <c r="PLM46" s="987"/>
      <c r="PLN46" s="987"/>
      <c r="PLO46" s="987"/>
      <c r="PLP46" s="987"/>
      <c r="PLQ46" s="987"/>
      <c r="PLR46" s="987"/>
      <c r="PLS46" s="987"/>
      <c r="PLT46" s="987"/>
      <c r="PLU46" s="987"/>
      <c r="PLV46" s="987"/>
      <c r="PLW46" s="987"/>
      <c r="PLX46" s="987"/>
      <c r="PLY46" s="987"/>
      <c r="PLZ46" s="987"/>
      <c r="PMA46" s="987"/>
      <c r="PMB46" s="987"/>
      <c r="PMC46" s="987"/>
      <c r="PMD46" s="987"/>
      <c r="PME46" s="987"/>
      <c r="PMF46" s="987"/>
      <c r="PMG46" s="987"/>
      <c r="PMH46" s="987"/>
      <c r="PMI46" s="987"/>
      <c r="PMJ46" s="987"/>
      <c r="PMK46" s="987"/>
      <c r="PML46" s="987"/>
      <c r="PMM46" s="987"/>
      <c r="PMN46" s="987"/>
      <c r="PMO46" s="987"/>
      <c r="PMP46" s="987"/>
      <c r="PMQ46" s="987"/>
      <c r="PMR46" s="987"/>
      <c r="PMS46" s="987"/>
      <c r="PMT46" s="987"/>
      <c r="PMU46" s="987"/>
      <c r="PMV46" s="987"/>
      <c r="PMW46" s="987"/>
      <c r="PMX46" s="987"/>
      <c r="PMY46" s="987"/>
      <c r="PMZ46" s="987"/>
      <c r="PNA46" s="987"/>
      <c r="PNB46" s="987"/>
      <c r="PNC46" s="987"/>
      <c r="PND46" s="987"/>
      <c r="PNE46" s="987"/>
      <c r="PNF46" s="987"/>
      <c r="PNG46" s="987"/>
      <c r="PNH46" s="987"/>
      <c r="PNI46" s="987"/>
      <c r="PNJ46" s="987"/>
      <c r="PNK46" s="987"/>
      <c r="PNL46" s="987"/>
      <c r="PNM46" s="987"/>
      <c r="PNN46" s="987"/>
      <c r="PNO46" s="987"/>
      <c r="PNP46" s="987"/>
      <c r="PNQ46" s="987"/>
      <c r="PNR46" s="987"/>
      <c r="PNS46" s="987"/>
      <c r="PNT46" s="987"/>
      <c r="PNU46" s="987"/>
      <c r="PNV46" s="987"/>
      <c r="PNW46" s="987"/>
      <c r="PNX46" s="987"/>
      <c r="PNY46" s="987"/>
      <c r="PNZ46" s="987"/>
      <c r="POA46" s="987"/>
      <c r="POB46" s="987"/>
      <c r="POC46" s="987"/>
      <c r="POD46" s="987"/>
      <c r="POE46" s="987"/>
      <c r="POF46" s="987"/>
      <c r="POG46" s="987"/>
      <c r="POH46" s="987"/>
      <c r="POI46" s="987"/>
      <c r="POJ46" s="987"/>
      <c r="POK46" s="987"/>
      <c r="POL46" s="987"/>
      <c r="POM46" s="987"/>
      <c r="PON46" s="987"/>
      <c r="POO46" s="987"/>
      <c r="POP46" s="987"/>
      <c r="POQ46" s="987"/>
      <c r="POR46" s="987"/>
      <c r="POS46" s="987"/>
      <c r="POT46" s="987"/>
      <c r="POU46" s="987"/>
      <c r="POV46" s="987"/>
      <c r="POW46" s="987"/>
      <c r="POX46" s="987"/>
      <c r="POY46" s="987"/>
      <c r="POZ46" s="987"/>
      <c r="PPA46" s="987"/>
      <c r="PPB46" s="987"/>
      <c r="PPC46" s="987"/>
      <c r="PPD46" s="987"/>
      <c r="PPE46" s="987"/>
      <c r="PPF46" s="987"/>
      <c r="PPG46" s="987"/>
      <c r="PPH46" s="987"/>
      <c r="PPI46" s="987"/>
      <c r="PPJ46" s="987"/>
      <c r="PPK46" s="987"/>
      <c r="PPL46" s="987"/>
      <c r="PPM46" s="987"/>
      <c r="PPN46" s="987"/>
      <c r="PPO46" s="987"/>
      <c r="PPP46" s="987"/>
      <c r="PPQ46" s="987"/>
      <c r="PPR46" s="987"/>
      <c r="PPS46" s="987"/>
      <c r="PPT46" s="987"/>
      <c r="PPU46" s="987"/>
      <c r="PPV46" s="987"/>
      <c r="PPW46" s="987"/>
      <c r="PPX46" s="987"/>
      <c r="PPY46" s="987"/>
      <c r="PPZ46" s="987"/>
      <c r="PQA46" s="987"/>
      <c r="PQB46" s="987"/>
      <c r="PQC46" s="987"/>
      <c r="PQD46" s="987"/>
      <c r="PQE46" s="987"/>
      <c r="PQF46" s="987"/>
      <c r="PQG46" s="987"/>
      <c r="PQH46" s="987"/>
      <c r="PQI46" s="987"/>
      <c r="PQJ46" s="987"/>
      <c r="PQK46" s="987"/>
      <c r="PQL46" s="987"/>
      <c r="PQM46" s="987"/>
      <c r="PQN46" s="987"/>
      <c r="PQO46" s="987"/>
      <c r="PQP46" s="987"/>
      <c r="PQQ46" s="987"/>
      <c r="PQR46" s="987"/>
      <c r="PQS46" s="987"/>
      <c r="PQT46" s="987"/>
      <c r="PQU46" s="987"/>
      <c r="PQV46" s="987"/>
      <c r="PQW46" s="987"/>
      <c r="PQX46" s="987"/>
      <c r="PQY46" s="987"/>
      <c r="PQZ46" s="987"/>
      <c r="PRA46" s="987"/>
      <c r="PRB46" s="987"/>
      <c r="PRC46" s="987"/>
      <c r="PRD46" s="987"/>
      <c r="PRE46" s="987"/>
      <c r="PRF46" s="987"/>
      <c r="PRG46" s="987"/>
      <c r="PRH46" s="987"/>
      <c r="PRI46" s="987"/>
      <c r="PRJ46" s="987"/>
      <c r="PRK46" s="987"/>
      <c r="PRL46" s="987"/>
      <c r="PRM46" s="987"/>
      <c r="PRN46" s="987"/>
      <c r="PRO46" s="987"/>
      <c r="PRP46" s="987"/>
      <c r="PRQ46" s="987"/>
      <c r="PRR46" s="987"/>
      <c r="PRS46" s="987"/>
      <c r="PRT46" s="987"/>
      <c r="PRU46" s="987"/>
      <c r="PRV46" s="987"/>
      <c r="PRW46" s="987"/>
      <c r="PRX46" s="987"/>
      <c r="PRY46" s="987"/>
      <c r="PRZ46" s="987"/>
      <c r="PSA46" s="987"/>
      <c r="PSB46" s="987"/>
      <c r="PSC46" s="987"/>
      <c r="PSD46" s="987"/>
      <c r="PSE46" s="987"/>
      <c r="PSF46" s="987"/>
      <c r="PSG46" s="987"/>
      <c r="PSH46" s="987"/>
      <c r="PSI46" s="987"/>
      <c r="PSJ46" s="987"/>
      <c r="PSK46" s="987"/>
      <c r="PSL46" s="987"/>
      <c r="PSM46" s="987"/>
      <c r="PSN46" s="987"/>
      <c r="PSO46" s="987"/>
      <c r="PSP46" s="987"/>
      <c r="PSQ46" s="987"/>
      <c r="PSR46" s="987"/>
      <c r="PSS46" s="987"/>
      <c r="PST46" s="987"/>
      <c r="PSU46" s="987"/>
      <c r="PSV46" s="987"/>
      <c r="PSW46" s="987"/>
      <c r="PSX46" s="987"/>
      <c r="PSY46" s="987"/>
      <c r="PSZ46" s="987"/>
      <c r="PTA46" s="987"/>
      <c r="PTB46" s="987"/>
      <c r="PTC46" s="987"/>
      <c r="PTD46" s="987"/>
      <c r="PTE46" s="987"/>
      <c r="PTF46" s="987"/>
      <c r="PTG46" s="987"/>
      <c r="PTH46" s="987"/>
      <c r="PTI46" s="987"/>
      <c r="PTJ46" s="987"/>
      <c r="PTK46" s="987"/>
      <c r="PTL46" s="987"/>
      <c r="PTM46" s="987"/>
      <c r="PTN46" s="987"/>
      <c r="PTO46" s="987"/>
      <c r="PTP46" s="987"/>
      <c r="PTQ46" s="987"/>
      <c r="PTR46" s="987"/>
      <c r="PTS46" s="987"/>
      <c r="PTT46" s="987"/>
      <c r="PTU46" s="987"/>
      <c r="PTV46" s="987"/>
      <c r="PTW46" s="987"/>
      <c r="PTX46" s="987"/>
      <c r="PTY46" s="987"/>
      <c r="PTZ46" s="987"/>
      <c r="PUA46" s="987"/>
      <c r="PUB46" s="987"/>
      <c r="PUC46" s="987"/>
      <c r="PUD46" s="987"/>
      <c r="PUE46" s="987"/>
      <c r="PUF46" s="987"/>
      <c r="PUG46" s="987"/>
      <c r="PUH46" s="987"/>
      <c r="PUI46" s="987"/>
      <c r="PUJ46" s="987"/>
      <c r="PUK46" s="987"/>
      <c r="PUL46" s="987"/>
      <c r="PUM46" s="987"/>
      <c r="PUN46" s="987"/>
      <c r="PUO46" s="987"/>
      <c r="PUP46" s="987"/>
      <c r="PUQ46" s="987"/>
      <c r="PUR46" s="987"/>
      <c r="PUS46" s="987"/>
      <c r="PUT46" s="987"/>
      <c r="PUU46" s="987"/>
      <c r="PUV46" s="987"/>
      <c r="PUW46" s="987"/>
      <c r="PUX46" s="987"/>
      <c r="PUY46" s="987"/>
      <c r="PUZ46" s="987"/>
      <c r="PVA46" s="987"/>
      <c r="PVB46" s="987"/>
      <c r="PVC46" s="987"/>
      <c r="PVD46" s="987"/>
      <c r="PVE46" s="987"/>
      <c r="PVF46" s="987"/>
      <c r="PVG46" s="987"/>
      <c r="PVH46" s="987"/>
      <c r="PVI46" s="987"/>
      <c r="PVJ46" s="987"/>
      <c r="PVK46" s="987"/>
      <c r="PVL46" s="987"/>
      <c r="PVM46" s="987"/>
      <c r="PVN46" s="987"/>
      <c r="PVO46" s="987"/>
      <c r="PVP46" s="987"/>
      <c r="PVQ46" s="987"/>
      <c r="PVR46" s="987"/>
      <c r="PVS46" s="987"/>
      <c r="PVT46" s="987"/>
      <c r="PVU46" s="987"/>
      <c r="PVV46" s="987"/>
      <c r="PVW46" s="987"/>
      <c r="PVX46" s="987"/>
      <c r="PVY46" s="987"/>
      <c r="PVZ46" s="987"/>
      <c r="PWA46" s="987"/>
      <c r="PWB46" s="987"/>
      <c r="PWC46" s="987"/>
      <c r="PWD46" s="987"/>
      <c r="PWE46" s="987"/>
      <c r="PWF46" s="987"/>
      <c r="PWG46" s="987"/>
      <c r="PWH46" s="987"/>
      <c r="PWI46" s="987"/>
      <c r="PWJ46" s="987"/>
      <c r="PWK46" s="987"/>
      <c r="PWL46" s="987"/>
      <c r="PWM46" s="987"/>
      <c r="PWN46" s="987"/>
      <c r="PWO46" s="987"/>
      <c r="PWP46" s="987"/>
      <c r="PWQ46" s="987"/>
      <c r="PWR46" s="987"/>
      <c r="PWS46" s="987"/>
      <c r="PWT46" s="987"/>
      <c r="PWU46" s="987"/>
      <c r="PWV46" s="987"/>
      <c r="PWW46" s="987"/>
      <c r="PWX46" s="987"/>
      <c r="PWY46" s="987"/>
      <c r="PWZ46" s="987"/>
      <c r="PXA46" s="987"/>
      <c r="PXB46" s="987"/>
      <c r="PXC46" s="987"/>
      <c r="PXD46" s="987"/>
      <c r="PXE46" s="987"/>
      <c r="PXF46" s="987"/>
      <c r="PXG46" s="987"/>
      <c r="PXH46" s="987"/>
      <c r="PXI46" s="987"/>
      <c r="PXJ46" s="987"/>
      <c r="PXK46" s="987"/>
      <c r="PXL46" s="987"/>
      <c r="PXM46" s="987"/>
      <c r="PXN46" s="987"/>
      <c r="PXO46" s="987"/>
      <c r="PXP46" s="987"/>
      <c r="PXQ46" s="987"/>
      <c r="PXR46" s="987"/>
      <c r="PXS46" s="987"/>
      <c r="PXT46" s="987"/>
      <c r="PXU46" s="987"/>
      <c r="PXV46" s="987"/>
      <c r="PXW46" s="987"/>
      <c r="PXX46" s="987"/>
      <c r="PXY46" s="987"/>
      <c r="PXZ46" s="987"/>
      <c r="PYA46" s="987"/>
      <c r="PYB46" s="987"/>
      <c r="PYC46" s="987"/>
      <c r="PYD46" s="987"/>
      <c r="PYE46" s="987"/>
      <c r="PYF46" s="987"/>
      <c r="PYG46" s="987"/>
      <c r="PYH46" s="987"/>
      <c r="PYI46" s="987"/>
      <c r="PYJ46" s="987"/>
      <c r="PYK46" s="987"/>
      <c r="PYL46" s="987"/>
      <c r="PYM46" s="987"/>
      <c r="PYN46" s="987"/>
      <c r="PYO46" s="987"/>
      <c r="PYP46" s="987"/>
      <c r="PYQ46" s="987"/>
      <c r="PYR46" s="987"/>
      <c r="PYS46" s="987"/>
      <c r="PYT46" s="987"/>
      <c r="PYU46" s="987"/>
      <c r="PYV46" s="987"/>
      <c r="PYW46" s="987"/>
      <c r="PYX46" s="987"/>
      <c r="PYY46" s="987"/>
      <c r="PYZ46" s="987"/>
      <c r="PZA46" s="987"/>
      <c r="PZB46" s="987"/>
      <c r="PZC46" s="987"/>
      <c r="PZD46" s="987"/>
      <c r="PZE46" s="987"/>
      <c r="PZF46" s="987"/>
      <c r="PZG46" s="987"/>
      <c r="PZH46" s="987"/>
      <c r="PZI46" s="987"/>
      <c r="PZJ46" s="987"/>
      <c r="PZK46" s="987"/>
      <c r="PZL46" s="987"/>
      <c r="PZM46" s="987"/>
      <c r="PZN46" s="987"/>
      <c r="PZO46" s="987"/>
      <c r="PZP46" s="987"/>
      <c r="PZQ46" s="987"/>
      <c r="PZR46" s="987"/>
      <c r="PZS46" s="987"/>
      <c r="PZT46" s="987"/>
      <c r="PZU46" s="987"/>
      <c r="PZV46" s="987"/>
      <c r="PZW46" s="987"/>
      <c r="PZX46" s="987"/>
      <c r="PZY46" s="987"/>
      <c r="PZZ46" s="987"/>
      <c r="QAA46" s="987"/>
      <c r="QAB46" s="987"/>
      <c r="QAC46" s="987"/>
      <c r="QAD46" s="987"/>
      <c r="QAE46" s="987"/>
      <c r="QAF46" s="987"/>
      <c r="QAG46" s="987"/>
      <c r="QAH46" s="987"/>
      <c r="QAI46" s="987"/>
      <c r="QAJ46" s="987"/>
      <c r="QAK46" s="987"/>
      <c r="QAL46" s="987"/>
      <c r="QAM46" s="987"/>
      <c r="QAN46" s="987"/>
      <c r="QAO46" s="987"/>
      <c r="QAP46" s="987"/>
      <c r="QAQ46" s="987"/>
      <c r="QAR46" s="987"/>
      <c r="QAS46" s="987"/>
      <c r="QAT46" s="987"/>
      <c r="QAU46" s="987"/>
      <c r="QAV46" s="987"/>
      <c r="QAW46" s="987"/>
      <c r="QAX46" s="987"/>
      <c r="QAY46" s="987"/>
      <c r="QAZ46" s="987"/>
      <c r="QBA46" s="987"/>
      <c r="QBB46" s="987"/>
      <c r="QBC46" s="987"/>
      <c r="QBD46" s="987"/>
      <c r="QBE46" s="987"/>
      <c r="QBF46" s="987"/>
      <c r="QBG46" s="987"/>
      <c r="QBH46" s="987"/>
      <c r="QBI46" s="987"/>
      <c r="QBJ46" s="987"/>
      <c r="QBK46" s="987"/>
      <c r="QBL46" s="987"/>
      <c r="QBM46" s="987"/>
      <c r="QBN46" s="987"/>
      <c r="QBO46" s="987"/>
      <c r="QBP46" s="987"/>
      <c r="QBQ46" s="987"/>
      <c r="QBR46" s="987"/>
      <c r="QBS46" s="987"/>
      <c r="QBT46" s="987"/>
      <c r="QBU46" s="987"/>
      <c r="QBV46" s="987"/>
      <c r="QBW46" s="987"/>
      <c r="QBX46" s="987"/>
      <c r="QBY46" s="987"/>
      <c r="QBZ46" s="987"/>
      <c r="QCA46" s="987"/>
      <c r="QCB46" s="987"/>
      <c r="QCC46" s="987"/>
      <c r="QCD46" s="987"/>
      <c r="QCE46" s="987"/>
      <c r="QCF46" s="987"/>
      <c r="QCG46" s="987"/>
      <c r="QCH46" s="987"/>
      <c r="QCI46" s="987"/>
      <c r="QCJ46" s="987"/>
      <c r="QCK46" s="987"/>
      <c r="QCL46" s="987"/>
      <c r="QCM46" s="987"/>
      <c r="QCN46" s="987"/>
      <c r="QCO46" s="987"/>
      <c r="QCP46" s="987"/>
      <c r="QCQ46" s="987"/>
      <c r="QCR46" s="987"/>
      <c r="QCS46" s="987"/>
      <c r="QCT46" s="987"/>
      <c r="QCU46" s="987"/>
      <c r="QCV46" s="987"/>
      <c r="QCW46" s="987"/>
      <c r="QCX46" s="987"/>
      <c r="QCY46" s="987"/>
      <c r="QCZ46" s="987"/>
      <c r="QDA46" s="987"/>
      <c r="QDB46" s="987"/>
      <c r="QDC46" s="987"/>
      <c r="QDD46" s="987"/>
      <c r="QDE46" s="987"/>
      <c r="QDF46" s="987"/>
      <c r="QDG46" s="987"/>
      <c r="QDH46" s="987"/>
      <c r="QDI46" s="987"/>
      <c r="QDJ46" s="987"/>
      <c r="QDK46" s="987"/>
      <c r="QDL46" s="987"/>
      <c r="QDM46" s="987"/>
      <c r="QDN46" s="987"/>
      <c r="QDO46" s="987"/>
      <c r="QDP46" s="987"/>
      <c r="QDQ46" s="987"/>
      <c r="QDR46" s="987"/>
      <c r="QDS46" s="987"/>
      <c r="QDT46" s="987"/>
      <c r="QDU46" s="987"/>
      <c r="QDV46" s="987"/>
      <c r="QDW46" s="987"/>
      <c r="QDX46" s="987"/>
      <c r="QDY46" s="987"/>
      <c r="QDZ46" s="987"/>
      <c r="QEA46" s="987"/>
      <c r="QEB46" s="987"/>
      <c r="QEC46" s="987"/>
      <c r="QED46" s="987"/>
      <c r="QEE46" s="987"/>
      <c r="QEF46" s="987"/>
      <c r="QEG46" s="987"/>
      <c r="QEH46" s="987"/>
      <c r="QEI46" s="987"/>
      <c r="QEJ46" s="987"/>
      <c r="QEK46" s="987"/>
      <c r="QEL46" s="987"/>
      <c r="QEM46" s="987"/>
      <c r="QEN46" s="987"/>
      <c r="QEO46" s="987"/>
      <c r="QEP46" s="987"/>
      <c r="QEQ46" s="987"/>
      <c r="QER46" s="987"/>
      <c r="QES46" s="987"/>
      <c r="QET46" s="987"/>
      <c r="QEU46" s="987"/>
      <c r="QEV46" s="987"/>
      <c r="QEW46" s="987"/>
      <c r="QEX46" s="987"/>
      <c r="QEY46" s="987"/>
      <c r="QEZ46" s="987"/>
      <c r="QFA46" s="987"/>
      <c r="QFB46" s="987"/>
      <c r="QFC46" s="987"/>
      <c r="QFD46" s="987"/>
      <c r="QFE46" s="987"/>
      <c r="QFF46" s="987"/>
      <c r="QFG46" s="987"/>
      <c r="QFH46" s="987"/>
      <c r="QFI46" s="987"/>
      <c r="QFJ46" s="987"/>
      <c r="QFK46" s="987"/>
      <c r="QFL46" s="987"/>
      <c r="QFM46" s="987"/>
      <c r="QFN46" s="987"/>
      <c r="QFO46" s="987"/>
      <c r="QFP46" s="987"/>
      <c r="QFQ46" s="987"/>
      <c r="QFR46" s="987"/>
      <c r="QFS46" s="987"/>
      <c r="QFT46" s="987"/>
      <c r="QFU46" s="987"/>
      <c r="QFV46" s="987"/>
      <c r="QFW46" s="987"/>
      <c r="QFX46" s="987"/>
      <c r="QFY46" s="987"/>
      <c r="QFZ46" s="987"/>
      <c r="QGA46" s="987"/>
      <c r="QGB46" s="987"/>
      <c r="QGC46" s="987"/>
      <c r="QGD46" s="987"/>
      <c r="QGE46" s="987"/>
      <c r="QGF46" s="987"/>
      <c r="QGG46" s="987"/>
      <c r="QGH46" s="987"/>
      <c r="QGI46" s="987"/>
      <c r="QGJ46" s="987"/>
      <c r="QGK46" s="987"/>
      <c r="QGL46" s="987"/>
      <c r="QGM46" s="987"/>
      <c r="QGN46" s="987"/>
      <c r="QGO46" s="987"/>
      <c r="QGP46" s="987"/>
      <c r="QGQ46" s="987"/>
      <c r="QGR46" s="987"/>
      <c r="QGS46" s="987"/>
      <c r="QGT46" s="987"/>
      <c r="QGU46" s="987"/>
      <c r="QGV46" s="987"/>
      <c r="QGW46" s="987"/>
      <c r="QGX46" s="987"/>
      <c r="QGY46" s="987"/>
      <c r="QGZ46" s="987"/>
      <c r="QHA46" s="987"/>
      <c r="QHB46" s="987"/>
      <c r="QHC46" s="987"/>
      <c r="QHD46" s="987"/>
      <c r="QHE46" s="987"/>
      <c r="QHF46" s="987"/>
      <c r="QHG46" s="987"/>
      <c r="QHH46" s="987"/>
      <c r="QHI46" s="987"/>
      <c r="QHJ46" s="987"/>
      <c r="QHK46" s="987"/>
      <c r="QHL46" s="987"/>
      <c r="QHM46" s="987"/>
      <c r="QHN46" s="987"/>
      <c r="QHO46" s="987"/>
      <c r="QHP46" s="987"/>
      <c r="QHQ46" s="987"/>
      <c r="QHR46" s="987"/>
      <c r="QHS46" s="987"/>
      <c r="QHT46" s="987"/>
      <c r="QHU46" s="987"/>
      <c r="QHV46" s="987"/>
      <c r="QHW46" s="987"/>
      <c r="QHX46" s="987"/>
      <c r="QHY46" s="987"/>
      <c r="QHZ46" s="987"/>
      <c r="QIA46" s="987"/>
      <c r="QIB46" s="987"/>
      <c r="QIC46" s="987"/>
      <c r="QID46" s="987"/>
      <c r="QIE46" s="987"/>
      <c r="QIF46" s="987"/>
      <c r="QIG46" s="987"/>
      <c r="QIH46" s="987"/>
      <c r="QII46" s="987"/>
      <c r="QIJ46" s="987"/>
      <c r="QIK46" s="987"/>
      <c r="QIL46" s="987"/>
      <c r="QIM46" s="987"/>
      <c r="QIN46" s="987"/>
      <c r="QIO46" s="987"/>
      <c r="QIP46" s="987"/>
      <c r="QIQ46" s="987"/>
      <c r="QIR46" s="987"/>
      <c r="QIS46" s="987"/>
      <c r="QIT46" s="987"/>
      <c r="QIU46" s="987"/>
      <c r="QIV46" s="987"/>
      <c r="QIW46" s="987"/>
      <c r="QIX46" s="987"/>
      <c r="QIY46" s="987"/>
      <c r="QIZ46" s="987"/>
      <c r="QJA46" s="987"/>
      <c r="QJB46" s="987"/>
      <c r="QJC46" s="987"/>
      <c r="QJD46" s="987"/>
      <c r="QJE46" s="987"/>
      <c r="QJF46" s="987"/>
      <c r="QJG46" s="987"/>
      <c r="QJH46" s="987"/>
      <c r="QJI46" s="987"/>
      <c r="QJJ46" s="987"/>
      <c r="QJK46" s="987"/>
      <c r="QJL46" s="987"/>
      <c r="QJM46" s="987"/>
      <c r="QJN46" s="987"/>
      <c r="QJO46" s="987"/>
      <c r="QJP46" s="987"/>
      <c r="QJQ46" s="987"/>
      <c r="QJR46" s="987"/>
      <c r="QJS46" s="987"/>
      <c r="QJT46" s="987"/>
      <c r="QJU46" s="987"/>
      <c r="QJV46" s="987"/>
      <c r="QJW46" s="987"/>
      <c r="QJX46" s="987"/>
      <c r="QJY46" s="987"/>
      <c r="QJZ46" s="987"/>
      <c r="QKA46" s="987"/>
      <c r="QKB46" s="987"/>
      <c r="QKC46" s="987"/>
      <c r="QKD46" s="987"/>
      <c r="QKE46" s="987"/>
      <c r="QKF46" s="987"/>
      <c r="QKG46" s="987"/>
      <c r="QKH46" s="987"/>
      <c r="QKI46" s="987"/>
      <c r="QKJ46" s="987"/>
      <c r="QKK46" s="987"/>
      <c r="QKL46" s="987"/>
      <c r="QKM46" s="987"/>
      <c r="QKN46" s="987"/>
      <c r="QKO46" s="987"/>
      <c r="QKP46" s="987"/>
      <c r="QKQ46" s="987"/>
      <c r="QKR46" s="987"/>
      <c r="QKS46" s="987"/>
      <c r="QKT46" s="987"/>
      <c r="QKU46" s="987"/>
      <c r="QKV46" s="987"/>
      <c r="QKW46" s="987"/>
      <c r="QKX46" s="987"/>
      <c r="QKY46" s="987"/>
      <c r="QKZ46" s="987"/>
      <c r="QLA46" s="987"/>
      <c r="QLB46" s="987"/>
      <c r="QLC46" s="987"/>
      <c r="QLD46" s="987"/>
      <c r="QLE46" s="987"/>
      <c r="QLF46" s="987"/>
      <c r="QLG46" s="987"/>
      <c r="QLH46" s="987"/>
      <c r="QLI46" s="987"/>
      <c r="QLJ46" s="987"/>
      <c r="QLK46" s="987"/>
      <c r="QLL46" s="987"/>
      <c r="QLM46" s="987"/>
      <c r="QLN46" s="987"/>
      <c r="QLO46" s="987"/>
      <c r="QLP46" s="987"/>
      <c r="QLQ46" s="987"/>
      <c r="QLR46" s="987"/>
      <c r="QLS46" s="987"/>
      <c r="QLT46" s="987"/>
      <c r="QLU46" s="987"/>
      <c r="QLV46" s="987"/>
      <c r="QLW46" s="987"/>
      <c r="QLX46" s="987"/>
      <c r="QLY46" s="987"/>
      <c r="QLZ46" s="987"/>
      <c r="QMA46" s="987"/>
      <c r="QMB46" s="987"/>
      <c r="QMC46" s="987"/>
      <c r="QMD46" s="987"/>
      <c r="QME46" s="987"/>
      <c r="QMF46" s="987"/>
      <c r="QMG46" s="987"/>
      <c r="QMH46" s="987"/>
      <c r="QMI46" s="987"/>
      <c r="QMJ46" s="987"/>
      <c r="QMK46" s="987"/>
      <c r="QML46" s="987"/>
      <c r="QMM46" s="987"/>
      <c r="QMN46" s="987"/>
      <c r="QMO46" s="987"/>
      <c r="QMP46" s="987"/>
      <c r="QMQ46" s="987"/>
      <c r="QMR46" s="987"/>
      <c r="QMS46" s="987"/>
      <c r="QMT46" s="987"/>
      <c r="QMU46" s="987"/>
      <c r="QMV46" s="987"/>
      <c r="QMW46" s="987"/>
      <c r="QMX46" s="987"/>
      <c r="QMY46" s="987"/>
      <c r="QMZ46" s="987"/>
      <c r="QNA46" s="987"/>
      <c r="QNB46" s="987"/>
      <c r="QNC46" s="987"/>
      <c r="QND46" s="987"/>
      <c r="QNE46" s="987"/>
      <c r="QNF46" s="987"/>
      <c r="QNG46" s="987"/>
      <c r="QNH46" s="987"/>
      <c r="QNI46" s="987"/>
      <c r="QNJ46" s="987"/>
      <c r="QNK46" s="987"/>
      <c r="QNL46" s="987"/>
      <c r="QNM46" s="987"/>
      <c r="QNN46" s="987"/>
      <c r="QNO46" s="987"/>
      <c r="QNP46" s="987"/>
      <c r="QNQ46" s="987"/>
      <c r="QNR46" s="987"/>
      <c r="QNS46" s="987"/>
      <c r="QNT46" s="987"/>
      <c r="QNU46" s="987"/>
      <c r="QNV46" s="987"/>
      <c r="QNW46" s="987"/>
      <c r="QNX46" s="987"/>
      <c r="QNY46" s="987"/>
      <c r="QNZ46" s="987"/>
      <c r="QOA46" s="987"/>
      <c r="QOB46" s="987"/>
      <c r="QOC46" s="987"/>
      <c r="QOD46" s="987"/>
      <c r="QOE46" s="987"/>
      <c r="QOF46" s="987"/>
      <c r="QOG46" s="987"/>
      <c r="QOH46" s="987"/>
      <c r="QOI46" s="987"/>
      <c r="QOJ46" s="987"/>
      <c r="QOK46" s="987"/>
      <c r="QOL46" s="987"/>
      <c r="QOM46" s="987"/>
      <c r="QON46" s="987"/>
      <c r="QOO46" s="987"/>
      <c r="QOP46" s="987"/>
      <c r="QOQ46" s="987"/>
      <c r="QOR46" s="987"/>
      <c r="QOS46" s="987"/>
      <c r="QOT46" s="987"/>
      <c r="QOU46" s="987"/>
      <c r="QOV46" s="987"/>
      <c r="QOW46" s="987"/>
      <c r="QOX46" s="987"/>
      <c r="QOY46" s="987"/>
      <c r="QOZ46" s="987"/>
      <c r="QPA46" s="987"/>
      <c r="QPB46" s="987"/>
      <c r="QPC46" s="987"/>
      <c r="QPD46" s="987"/>
      <c r="QPE46" s="987"/>
      <c r="QPF46" s="987"/>
      <c r="QPG46" s="987"/>
      <c r="QPH46" s="987"/>
      <c r="QPI46" s="987"/>
      <c r="QPJ46" s="987"/>
      <c r="QPK46" s="987"/>
      <c r="QPL46" s="987"/>
      <c r="QPM46" s="987"/>
      <c r="QPN46" s="987"/>
      <c r="QPO46" s="987"/>
      <c r="QPP46" s="987"/>
      <c r="QPQ46" s="987"/>
      <c r="QPR46" s="987"/>
      <c r="QPS46" s="987"/>
      <c r="QPT46" s="987"/>
      <c r="QPU46" s="987"/>
      <c r="QPV46" s="987"/>
      <c r="QPW46" s="987"/>
      <c r="QPX46" s="987"/>
      <c r="QPY46" s="987"/>
      <c r="QPZ46" s="987"/>
      <c r="QQA46" s="987"/>
      <c r="QQB46" s="987"/>
      <c r="QQC46" s="987"/>
      <c r="QQD46" s="987"/>
      <c r="QQE46" s="987"/>
      <c r="QQF46" s="987"/>
      <c r="QQG46" s="987"/>
      <c r="QQH46" s="987"/>
      <c r="QQI46" s="987"/>
      <c r="QQJ46" s="987"/>
      <c r="QQK46" s="987"/>
      <c r="QQL46" s="987"/>
      <c r="QQM46" s="987"/>
      <c r="QQN46" s="987"/>
      <c r="QQO46" s="987"/>
      <c r="QQP46" s="987"/>
      <c r="QQQ46" s="987"/>
      <c r="QQR46" s="987"/>
      <c r="QQS46" s="987"/>
      <c r="QQT46" s="987"/>
      <c r="QQU46" s="987"/>
      <c r="QQV46" s="987"/>
      <c r="QQW46" s="987"/>
      <c r="QQX46" s="987"/>
      <c r="QQY46" s="987"/>
      <c r="QQZ46" s="987"/>
      <c r="QRA46" s="987"/>
      <c r="QRB46" s="987"/>
      <c r="QRC46" s="987"/>
      <c r="QRD46" s="987"/>
      <c r="QRE46" s="987"/>
      <c r="QRF46" s="987"/>
      <c r="QRG46" s="987"/>
      <c r="QRH46" s="987"/>
      <c r="QRI46" s="987"/>
      <c r="QRJ46" s="987"/>
      <c r="QRK46" s="987"/>
      <c r="QRL46" s="987"/>
      <c r="QRM46" s="987"/>
      <c r="QRN46" s="987"/>
      <c r="QRO46" s="987"/>
      <c r="QRP46" s="987"/>
      <c r="QRQ46" s="987"/>
      <c r="QRR46" s="987"/>
      <c r="QRS46" s="987"/>
      <c r="QRT46" s="987"/>
      <c r="QRU46" s="987"/>
      <c r="QRV46" s="987"/>
      <c r="QRW46" s="987"/>
      <c r="QRX46" s="987"/>
      <c r="QRY46" s="987"/>
      <c r="QRZ46" s="987"/>
      <c r="QSA46" s="987"/>
      <c r="QSB46" s="987"/>
      <c r="QSC46" s="987"/>
      <c r="QSD46" s="987"/>
      <c r="QSE46" s="987"/>
      <c r="QSF46" s="987"/>
      <c r="QSG46" s="987"/>
      <c r="QSH46" s="987"/>
      <c r="QSI46" s="987"/>
      <c r="QSJ46" s="987"/>
      <c r="QSK46" s="987"/>
      <c r="QSL46" s="987"/>
      <c r="QSM46" s="987"/>
      <c r="QSN46" s="987"/>
      <c r="QSO46" s="987"/>
      <c r="QSP46" s="987"/>
      <c r="QSQ46" s="987"/>
      <c r="QSR46" s="987"/>
      <c r="QSS46" s="987"/>
      <c r="QST46" s="987"/>
      <c r="QSU46" s="987"/>
      <c r="QSV46" s="987"/>
      <c r="QSW46" s="987"/>
      <c r="QSX46" s="987"/>
      <c r="QSY46" s="987"/>
      <c r="QSZ46" s="987"/>
      <c r="QTA46" s="987"/>
      <c r="QTB46" s="987"/>
      <c r="QTC46" s="987"/>
      <c r="QTD46" s="987"/>
      <c r="QTE46" s="987"/>
      <c r="QTF46" s="987"/>
      <c r="QTG46" s="987"/>
      <c r="QTH46" s="987"/>
      <c r="QTI46" s="987"/>
      <c r="QTJ46" s="987"/>
      <c r="QTK46" s="987"/>
      <c r="QTL46" s="987"/>
      <c r="QTM46" s="987"/>
      <c r="QTN46" s="987"/>
      <c r="QTO46" s="987"/>
      <c r="QTP46" s="987"/>
      <c r="QTQ46" s="987"/>
      <c r="QTR46" s="987"/>
      <c r="QTS46" s="987"/>
      <c r="QTT46" s="987"/>
      <c r="QTU46" s="987"/>
      <c r="QTV46" s="987"/>
      <c r="QTW46" s="987"/>
      <c r="QTX46" s="987"/>
      <c r="QTY46" s="987"/>
      <c r="QTZ46" s="987"/>
      <c r="QUA46" s="987"/>
      <c r="QUB46" s="987"/>
      <c r="QUC46" s="987"/>
      <c r="QUD46" s="987"/>
      <c r="QUE46" s="987"/>
      <c r="QUF46" s="987"/>
      <c r="QUG46" s="987"/>
      <c r="QUH46" s="987"/>
      <c r="QUI46" s="987"/>
      <c r="QUJ46" s="987"/>
      <c r="QUK46" s="987"/>
      <c r="QUL46" s="987"/>
      <c r="QUM46" s="987"/>
      <c r="QUN46" s="987"/>
      <c r="QUO46" s="987"/>
      <c r="QUP46" s="987"/>
      <c r="QUQ46" s="987"/>
      <c r="QUR46" s="987"/>
      <c r="QUS46" s="987"/>
      <c r="QUT46" s="987"/>
      <c r="QUU46" s="987"/>
      <c r="QUV46" s="987"/>
      <c r="QUW46" s="987"/>
      <c r="QUX46" s="987"/>
      <c r="QUY46" s="987"/>
      <c r="QUZ46" s="987"/>
      <c r="QVA46" s="987"/>
      <c r="QVB46" s="987"/>
      <c r="QVC46" s="987"/>
      <c r="QVD46" s="987"/>
      <c r="QVE46" s="987"/>
      <c r="QVF46" s="987"/>
      <c r="QVG46" s="987"/>
      <c r="QVH46" s="987"/>
      <c r="QVI46" s="987"/>
      <c r="QVJ46" s="987"/>
      <c r="QVK46" s="987"/>
      <c r="QVL46" s="987"/>
      <c r="QVM46" s="987"/>
      <c r="QVN46" s="987"/>
      <c r="QVO46" s="987"/>
      <c r="QVP46" s="987"/>
      <c r="QVQ46" s="987"/>
      <c r="QVR46" s="987"/>
      <c r="QVS46" s="987"/>
      <c r="QVT46" s="987"/>
      <c r="QVU46" s="987"/>
      <c r="QVV46" s="987"/>
      <c r="QVW46" s="987"/>
      <c r="QVX46" s="987"/>
      <c r="QVY46" s="987"/>
      <c r="QVZ46" s="987"/>
      <c r="QWA46" s="987"/>
      <c r="QWB46" s="987"/>
      <c r="QWC46" s="987"/>
      <c r="QWD46" s="987"/>
      <c r="QWE46" s="987"/>
      <c r="QWF46" s="987"/>
      <c r="QWG46" s="987"/>
      <c r="QWH46" s="987"/>
      <c r="QWI46" s="987"/>
      <c r="QWJ46" s="987"/>
      <c r="QWK46" s="987"/>
      <c r="QWL46" s="987"/>
      <c r="QWM46" s="987"/>
      <c r="QWN46" s="987"/>
      <c r="QWO46" s="987"/>
      <c r="QWP46" s="987"/>
      <c r="QWQ46" s="987"/>
      <c r="QWR46" s="987"/>
      <c r="QWS46" s="987"/>
      <c r="QWT46" s="987"/>
      <c r="QWU46" s="987"/>
      <c r="QWV46" s="987"/>
      <c r="QWW46" s="987"/>
      <c r="QWX46" s="987"/>
      <c r="QWY46" s="987"/>
      <c r="QWZ46" s="987"/>
      <c r="QXA46" s="987"/>
      <c r="QXB46" s="987"/>
      <c r="QXC46" s="987"/>
      <c r="QXD46" s="987"/>
      <c r="QXE46" s="987"/>
      <c r="QXF46" s="987"/>
      <c r="QXG46" s="987"/>
      <c r="QXH46" s="987"/>
      <c r="QXI46" s="987"/>
      <c r="QXJ46" s="987"/>
      <c r="QXK46" s="987"/>
      <c r="QXL46" s="987"/>
      <c r="QXM46" s="987"/>
      <c r="QXN46" s="987"/>
      <c r="QXO46" s="987"/>
      <c r="QXP46" s="987"/>
      <c r="QXQ46" s="987"/>
      <c r="QXR46" s="987"/>
      <c r="QXS46" s="987"/>
      <c r="QXT46" s="987"/>
      <c r="QXU46" s="987"/>
      <c r="QXV46" s="987"/>
      <c r="QXW46" s="987"/>
      <c r="QXX46" s="987"/>
      <c r="QXY46" s="987"/>
      <c r="QXZ46" s="987"/>
      <c r="QYA46" s="987"/>
      <c r="QYB46" s="987"/>
      <c r="QYC46" s="987"/>
      <c r="QYD46" s="987"/>
      <c r="QYE46" s="987"/>
      <c r="QYF46" s="987"/>
      <c r="QYG46" s="987"/>
      <c r="QYH46" s="987"/>
      <c r="QYI46" s="987"/>
      <c r="QYJ46" s="987"/>
      <c r="QYK46" s="987"/>
      <c r="QYL46" s="987"/>
      <c r="QYM46" s="987"/>
      <c r="QYN46" s="987"/>
      <c r="QYO46" s="987"/>
      <c r="QYP46" s="987"/>
      <c r="QYQ46" s="987"/>
      <c r="QYR46" s="987"/>
      <c r="QYS46" s="987"/>
      <c r="QYT46" s="987"/>
      <c r="QYU46" s="987"/>
      <c r="QYV46" s="987"/>
      <c r="QYW46" s="987"/>
      <c r="QYX46" s="987"/>
      <c r="QYY46" s="987"/>
      <c r="QYZ46" s="987"/>
      <c r="QZA46" s="987"/>
      <c r="QZB46" s="987"/>
      <c r="QZC46" s="987"/>
      <c r="QZD46" s="987"/>
      <c r="QZE46" s="987"/>
      <c r="QZF46" s="987"/>
      <c r="QZG46" s="987"/>
      <c r="QZH46" s="987"/>
      <c r="QZI46" s="987"/>
      <c r="QZJ46" s="987"/>
      <c r="QZK46" s="987"/>
      <c r="QZL46" s="987"/>
      <c r="QZM46" s="987"/>
      <c r="QZN46" s="987"/>
      <c r="QZO46" s="987"/>
      <c r="QZP46" s="987"/>
      <c r="QZQ46" s="987"/>
      <c r="QZR46" s="987"/>
      <c r="QZS46" s="987"/>
      <c r="QZT46" s="987"/>
      <c r="QZU46" s="987"/>
      <c r="QZV46" s="987"/>
      <c r="QZW46" s="987"/>
      <c r="QZX46" s="987"/>
      <c r="QZY46" s="987"/>
      <c r="QZZ46" s="987"/>
      <c r="RAA46" s="987"/>
      <c r="RAB46" s="987"/>
      <c r="RAC46" s="987"/>
      <c r="RAD46" s="987"/>
      <c r="RAE46" s="987"/>
      <c r="RAF46" s="987"/>
      <c r="RAG46" s="987"/>
      <c r="RAH46" s="987"/>
      <c r="RAI46" s="987"/>
      <c r="RAJ46" s="987"/>
      <c r="RAK46" s="987"/>
      <c r="RAL46" s="987"/>
      <c r="RAM46" s="987"/>
      <c r="RAN46" s="987"/>
      <c r="RAO46" s="987"/>
      <c r="RAP46" s="987"/>
      <c r="RAQ46" s="987"/>
      <c r="RAR46" s="987"/>
      <c r="RAS46" s="987"/>
      <c r="RAT46" s="987"/>
      <c r="RAU46" s="987"/>
      <c r="RAV46" s="987"/>
      <c r="RAW46" s="987"/>
      <c r="RAX46" s="987"/>
      <c r="RAY46" s="987"/>
      <c r="RAZ46" s="987"/>
      <c r="RBA46" s="987"/>
      <c r="RBB46" s="987"/>
      <c r="RBC46" s="987"/>
      <c r="RBD46" s="987"/>
      <c r="RBE46" s="987"/>
      <c r="RBF46" s="987"/>
      <c r="RBG46" s="987"/>
      <c r="RBH46" s="987"/>
      <c r="RBI46" s="987"/>
      <c r="RBJ46" s="987"/>
      <c r="RBK46" s="987"/>
      <c r="RBL46" s="987"/>
      <c r="RBM46" s="987"/>
      <c r="RBN46" s="987"/>
      <c r="RBO46" s="987"/>
      <c r="RBP46" s="987"/>
      <c r="RBQ46" s="987"/>
      <c r="RBR46" s="987"/>
      <c r="RBS46" s="987"/>
      <c r="RBT46" s="987"/>
      <c r="RBU46" s="987"/>
      <c r="RBV46" s="987"/>
      <c r="RBW46" s="987"/>
      <c r="RBX46" s="987"/>
      <c r="RBY46" s="987"/>
      <c r="RBZ46" s="987"/>
      <c r="RCA46" s="987"/>
      <c r="RCB46" s="987"/>
      <c r="RCC46" s="987"/>
      <c r="RCD46" s="987"/>
      <c r="RCE46" s="987"/>
      <c r="RCF46" s="987"/>
      <c r="RCG46" s="987"/>
      <c r="RCH46" s="987"/>
      <c r="RCI46" s="987"/>
      <c r="RCJ46" s="987"/>
      <c r="RCK46" s="987"/>
      <c r="RCL46" s="987"/>
      <c r="RCM46" s="987"/>
      <c r="RCN46" s="987"/>
      <c r="RCO46" s="987"/>
      <c r="RCP46" s="987"/>
      <c r="RCQ46" s="987"/>
      <c r="RCR46" s="987"/>
      <c r="RCS46" s="987"/>
      <c r="RCT46" s="987"/>
      <c r="RCU46" s="987"/>
      <c r="RCV46" s="987"/>
      <c r="RCW46" s="987"/>
      <c r="RCX46" s="987"/>
      <c r="RCY46" s="987"/>
      <c r="RCZ46" s="987"/>
      <c r="RDA46" s="987"/>
      <c r="RDB46" s="987"/>
      <c r="RDC46" s="987"/>
      <c r="RDD46" s="987"/>
      <c r="RDE46" s="987"/>
      <c r="RDF46" s="987"/>
      <c r="RDG46" s="987"/>
      <c r="RDH46" s="987"/>
      <c r="RDI46" s="987"/>
      <c r="RDJ46" s="987"/>
      <c r="RDK46" s="987"/>
      <c r="RDL46" s="987"/>
      <c r="RDM46" s="987"/>
      <c r="RDN46" s="987"/>
      <c r="RDO46" s="987"/>
      <c r="RDP46" s="987"/>
      <c r="RDQ46" s="987"/>
      <c r="RDR46" s="987"/>
      <c r="RDS46" s="987"/>
      <c r="RDT46" s="987"/>
      <c r="RDU46" s="987"/>
      <c r="RDV46" s="987"/>
      <c r="RDW46" s="987"/>
      <c r="RDX46" s="987"/>
      <c r="RDY46" s="987"/>
      <c r="RDZ46" s="987"/>
      <c r="REA46" s="987"/>
      <c r="REB46" s="987"/>
      <c r="REC46" s="987"/>
      <c r="RED46" s="987"/>
      <c r="REE46" s="987"/>
      <c r="REF46" s="987"/>
      <c r="REG46" s="987"/>
      <c r="REH46" s="987"/>
      <c r="REI46" s="987"/>
      <c r="REJ46" s="987"/>
      <c r="REK46" s="987"/>
      <c r="REL46" s="987"/>
      <c r="REM46" s="987"/>
      <c r="REN46" s="987"/>
      <c r="REO46" s="987"/>
      <c r="REP46" s="987"/>
      <c r="REQ46" s="987"/>
      <c r="RER46" s="987"/>
      <c r="RES46" s="987"/>
      <c r="RET46" s="987"/>
      <c r="REU46" s="987"/>
      <c r="REV46" s="987"/>
      <c r="REW46" s="987"/>
      <c r="REX46" s="987"/>
      <c r="REY46" s="987"/>
      <c r="REZ46" s="987"/>
      <c r="RFA46" s="987"/>
      <c r="RFB46" s="987"/>
      <c r="RFC46" s="987"/>
      <c r="RFD46" s="987"/>
      <c r="RFE46" s="987"/>
      <c r="RFF46" s="987"/>
      <c r="RFG46" s="987"/>
      <c r="RFH46" s="987"/>
      <c r="RFI46" s="987"/>
      <c r="RFJ46" s="987"/>
      <c r="RFK46" s="987"/>
      <c r="RFL46" s="987"/>
      <c r="RFM46" s="987"/>
      <c r="RFN46" s="987"/>
      <c r="RFO46" s="987"/>
      <c r="RFP46" s="987"/>
      <c r="RFQ46" s="987"/>
      <c r="RFR46" s="987"/>
      <c r="RFS46" s="987"/>
      <c r="RFT46" s="987"/>
      <c r="RFU46" s="987"/>
      <c r="RFV46" s="987"/>
      <c r="RFW46" s="987"/>
      <c r="RFX46" s="987"/>
      <c r="RFY46" s="987"/>
      <c r="RFZ46" s="987"/>
      <c r="RGA46" s="987"/>
      <c r="RGB46" s="987"/>
      <c r="RGC46" s="987"/>
      <c r="RGD46" s="987"/>
      <c r="RGE46" s="987"/>
      <c r="RGF46" s="987"/>
      <c r="RGG46" s="987"/>
      <c r="RGH46" s="987"/>
      <c r="RGI46" s="987"/>
      <c r="RGJ46" s="987"/>
      <c r="RGK46" s="987"/>
      <c r="RGL46" s="987"/>
      <c r="RGM46" s="987"/>
      <c r="RGN46" s="987"/>
      <c r="RGO46" s="987"/>
      <c r="RGP46" s="987"/>
      <c r="RGQ46" s="987"/>
      <c r="RGR46" s="987"/>
      <c r="RGS46" s="987"/>
      <c r="RGT46" s="987"/>
      <c r="RGU46" s="987"/>
      <c r="RGV46" s="987"/>
      <c r="RGW46" s="987"/>
      <c r="RGX46" s="987"/>
      <c r="RGY46" s="987"/>
      <c r="RGZ46" s="987"/>
      <c r="RHA46" s="987"/>
      <c r="RHB46" s="987"/>
      <c r="RHC46" s="987"/>
      <c r="RHD46" s="987"/>
      <c r="RHE46" s="987"/>
      <c r="RHF46" s="987"/>
      <c r="RHG46" s="987"/>
      <c r="RHH46" s="987"/>
      <c r="RHI46" s="987"/>
      <c r="RHJ46" s="987"/>
      <c r="RHK46" s="987"/>
      <c r="RHL46" s="987"/>
      <c r="RHM46" s="987"/>
      <c r="RHN46" s="987"/>
      <c r="RHO46" s="987"/>
      <c r="RHP46" s="987"/>
      <c r="RHQ46" s="987"/>
      <c r="RHR46" s="987"/>
      <c r="RHS46" s="987"/>
      <c r="RHT46" s="987"/>
      <c r="RHU46" s="987"/>
      <c r="RHV46" s="987"/>
      <c r="RHW46" s="987"/>
      <c r="RHX46" s="987"/>
      <c r="RHY46" s="987"/>
      <c r="RHZ46" s="987"/>
      <c r="RIA46" s="987"/>
      <c r="RIB46" s="987"/>
      <c r="RIC46" s="987"/>
      <c r="RID46" s="987"/>
      <c r="RIE46" s="987"/>
      <c r="RIF46" s="987"/>
      <c r="RIG46" s="987"/>
      <c r="RIH46" s="987"/>
      <c r="RII46" s="987"/>
      <c r="RIJ46" s="987"/>
      <c r="RIK46" s="987"/>
      <c r="RIL46" s="987"/>
      <c r="RIM46" s="987"/>
      <c r="RIN46" s="987"/>
      <c r="RIO46" s="987"/>
      <c r="RIP46" s="987"/>
      <c r="RIQ46" s="987"/>
      <c r="RIR46" s="987"/>
      <c r="RIS46" s="987"/>
      <c r="RIT46" s="987"/>
      <c r="RIU46" s="987"/>
      <c r="RIV46" s="987"/>
      <c r="RIW46" s="987"/>
      <c r="RIX46" s="987"/>
      <c r="RIY46" s="987"/>
      <c r="RIZ46" s="987"/>
      <c r="RJA46" s="987"/>
      <c r="RJB46" s="987"/>
      <c r="RJC46" s="987"/>
      <c r="RJD46" s="987"/>
      <c r="RJE46" s="987"/>
      <c r="RJF46" s="987"/>
      <c r="RJG46" s="987"/>
      <c r="RJH46" s="987"/>
      <c r="RJI46" s="987"/>
      <c r="RJJ46" s="987"/>
      <c r="RJK46" s="987"/>
      <c r="RJL46" s="987"/>
      <c r="RJM46" s="987"/>
      <c r="RJN46" s="987"/>
      <c r="RJO46" s="987"/>
      <c r="RJP46" s="987"/>
      <c r="RJQ46" s="987"/>
      <c r="RJR46" s="987"/>
      <c r="RJS46" s="987"/>
      <c r="RJT46" s="987"/>
      <c r="RJU46" s="987"/>
      <c r="RJV46" s="987"/>
      <c r="RJW46" s="987"/>
      <c r="RJX46" s="987"/>
      <c r="RJY46" s="987"/>
      <c r="RJZ46" s="987"/>
      <c r="RKA46" s="987"/>
      <c r="RKB46" s="987"/>
      <c r="RKC46" s="987"/>
      <c r="RKD46" s="987"/>
      <c r="RKE46" s="987"/>
      <c r="RKF46" s="987"/>
      <c r="RKG46" s="987"/>
      <c r="RKH46" s="987"/>
      <c r="RKI46" s="987"/>
      <c r="RKJ46" s="987"/>
      <c r="RKK46" s="987"/>
      <c r="RKL46" s="987"/>
      <c r="RKM46" s="987"/>
      <c r="RKN46" s="987"/>
      <c r="RKO46" s="987"/>
      <c r="RKP46" s="987"/>
      <c r="RKQ46" s="987"/>
      <c r="RKR46" s="987"/>
      <c r="RKS46" s="987"/>
      <c r="RKT46" s="987"/>
      <c r="RKU46" s="987"/>
      <c r="RKV46" s="987"/>
      <c r="RKW46" s="987"/>
      <c r="RKX46" s="987"/>
      <c r="RKY46" s="987"/>
      <c r="RKZ46" s="987"/>
      <c r="RLA46" s="987"/>
      <c r="RLB46" s="987"/>
      <c r="RLC46" s="987"/>
      <c r="RLD46" s="987"/>
      <c r="RLE46" s="987"/>
      <c r="RLF46" s="987"/>
      <c r="RLG46" s="987"/>
      <c r="RLH46" s="987"/>
      <c r="RLI46" s="987"/>
      <c r="RLJ46" s="987"/>
      <c r="RLK46" s="987"/>
      <c r="RLL46" s="987"/>
      <c r="RLM46" s="987"/>
      <c r="RLN46" s="987"/>
      <c r="RLO46" s="987"/>
      <c r="RLP46" s="987"/>
      <c r="RLQ46" s="987"/>
      <c r="RLR46" s="987"/>
      <c r="RLS46" s="987"/>
      <c r="RLT46" s="987"/>
      <c r="RLU46" s="987"/>
      <c r="RLV46" s="987"/>
      <c r="RLW46" s="987"/>
      <c r="RLX46" s="987"/>
      <c r="RLY46" s="987"/>
      <c r="RLZ46" s="987"/>
      <c r="RMA46" s="987"/>
      <c r="RMB46" s="987"/>
      <c r="RMC46" s="987"/>
      <c r="RMD46" s="987"/>
      <c r="RME46" s="987"/>
      <c r="RMF46" s="987"/>
      <c r="RMG46" s="987"/>
      <c r="RMH46" s="987"/>
      <c r="RMI46" s="987"/>
      <c r="RMJ46" s="987"/>
      <c r="RMK46" s="987"/>
      <c r="RML46" s="987"/>
      <c r="RMM46" s="987"/>
      <c r="RMN46" s="987"/>
      <c r="RMO46" s="987"/>
      <c r="RMP46" s="987"/>
      <c r="RMQ46" s="987"/>
      <c r="RMR46" s="987"/>
      <c r="RMS46" s="987"/>
      <c r="RMT46" s="987"/>
      <c r="RMU46" s="987"/>
      <c r="RMV46" s="987"/>
      <c r="RMW46" s="987"/>
      <c r="RMX46" s="987"/>
      <c r="RMY46" s="987"/>
      <c r="RMZ46" s="987"/>
      <c r="RNA46" s="987"/>
      <c r="RNB46" s="987"/>
      <c r="RNC46" s="987"/>
      <c r="RND46" s="987"/>
      <c r="RNE46" s="987"/>
      <c r="RNF46" s="987"/>
      <c r="RNG46" s="987"/>
      <c r="RNH46" s="987"/>
      <c r="RNI46" s="987"/>
      <c r="RNJ46" s="987"/>
      <c r="RNK46" s="987"/>
      <c r="RNL46" s="987"/>
      <c r="RNM46" s="987"/>
      <c r="RNN46" s="987"/>
      <c r="RNO46" s="987"/>
      <c r="RNP46" s="987"/>
      <c r="RNQ46" s="987"/>
      <c r="RNR46" s="987"/>
      <c r="RNS46" s="987"/>
      <c r="RNT46" s="987"/>
      <c r="RNU46" s="987"/>
      <c r="RNV46" s="987"/>
      <c r="RNW46" s="987"/>
      <c r="RNX46" s="987"/>
      <c r="RNY46" s="987"/>
      <c r="RNZ46" s="987"/>
      <c r="ROA46" s="987"/>
      <c r="ROB46" s="987"/>
      <c r="ROC46" s="987"/>
      <c r="ROD46" s="987"/>
      <c r="ROE46" s="987"/>
      <c r="ROF46" s="987"/>
      <c r="ROG46" s="987"/>
      <c r="ROH46" s="987"/>
      <c r="ROI46" s="987"/>
      <c r="ROJ46" s="987"/>
      <c r="ROK46" s="987"/>
      <c r="ROL46" s="987"/>
      <c r="ROM46" s="987"/>
      <c r="RON46" s="987"/>
      <c r="ROO46" s="987"/>
      <c r="ROP46" s="987"/>
      <c r="ROQ46" s="987"/>
      <c r="ROR46" s="987"/>
      <c r="ROS46" s="987"/>
      <c r="ROT46" s="987"/>
      <c r="ROU46" s="987"/>
      <c r="ROV46" s="987"/>
      <c r="ROW46" s="987"/>
      <c r="ROX46" s="987"/>
      <c r="ROY46" s="987"/>
      <c r="ROZ46" s="987"/>
      <c r="RPA46" s="987"/>
      <c r="RPB46" s="987"/>
      <c r="RPC46" s="987"/>
      <c r="RPD46" s="987"/>
      <c r="RPE46" s="987"/>
      <c r="RPF46" s="987"/>
      <c r="RPG46" s="987"/>
      <c r="RPH46" s="987"/>
      <c r="RPI46" s="987"/>
      <c r="RPJ46" s="987"/>
      <c r="RPK46" s="987"/>
      <c r="RPL46" s="987"/>
      <c r="RPM46" s="987"/>
      <c r="RPN46" s="987"/>
      <c r="RPO46" s="987"/>
      <c r="RPP46" s="987"/>
      <c r="RPQ46" s="987"/>
      <c r="RPR46" s="987"/>
      <c r="RPS46" s="987"/>
      <c r="RPT46" s="987"/>
      <c r="RPU46" s="987"/>
      <c r="RPV46" s="987"/>
      <c r="RPW46" s="987"/>
      <c r="RPX46" s="987"/>
      <c r="RPY46" s="987"/>
      <c r="RPZ46" s="987"/>
      <c r="RQA46" s="987"/>
      <c r="RQB46" s="987"/>
      <c r="RQC46" s="987"/>
      <c r="RQD46" s="987"/>
      <c r="RQE46" s="987"/>
      <c r="RQF46" s="987"/>
      <c r="RQG46" s="987"/>
      <c r="RQH46" s="987"/>
      <c r="RQI46" s="987"/>
      <c r="RQJ46" s="987"/>
      <c r="RQK46" s="987"/>
      <c r="RQL46" s="987"/>
      <c r="RQM46" s="987"/>
      <c r="RQN46" s="987"/>
      <c r="RQO46" s="987"/>
      <c r="RQP46" s="987"/>
      <c r="RQQ46" s="987"/>
      <c r="RQR46" s="987"/>
      <c r="RQS46" s="987"/>
      <c r="RQT46" s="987"/>
      <c r="RQU46" s="987"/>
      <c r="RQV46" s="987"/>
      <c r="RQW46" s="987"/>
      <c r="RQX46" s="987"/>
      <c r="RQY46" s="987"/>
      <c r="RQZ46" s="987"/>
      <c r="RRA46" s="987"/>
      <c r="RRB46" s="987"/>
      <c r="RRC46" s="987"/>
      <c r="RRD46" s="987"/>
      <c r="RRE46" s="987"/>
      <c r="RRF46" s="987"/>
      <c r="RRG46" s="987"/>
      <c r="RRH46" s="987"/>
      <c r="RRI46" s="987"/>
      <c r="RRJ46" s="987"/>
      <c r="RRK46" s="987"/>
      <c r="RRL46" s="987"/>
      <c r="RRM46" s="987"/>
      <c r="RRN46" s="987"/>
      <c r="RRO46" s="987"/>
      <c r="RRP46" s="987"/>
      <c r="RRQ46" s="987"/>
      <c r="RRR46" s="987"/>
      <c r="RRS46" s="987"/>
      <c r="RRT46" s="987"/>
      <c r="RRU46" s="987"/>
      <c r="RRV46" s="987"/>
      <c r="RRW46" s="987"/>
      <c r="RRX46" s="987"/>
      <c r="RRY46" s="987"/>
      <c r="RRZ46" s="987"/>
      <c r="RSA46" s="987"/>
      <c r="RSB46" s="987"/>
      <c r="RSC46" s="987"/>
      <c r="RSD46" s="987"/>
      <c r="RSE46" s="987"/>
      <c r="RSF46" s="987"/>
      <c r="RSG46" s="987"/>
      <c r="RSH46" s="987"/>
      <c r="RSI46" s="987"/>
      <c r="RSJ46" s="987"/>
      <c r="RSK46" s="987"/>
      <c r="RSL46" s="987"/>
      <c r="RSM46" s="987"/>
      <c r="RSN46" s="987"/>
      <c r="RSO46" s="987"/>
      <c r="RSP46" s="987"/>
      <c r="RSQ46" s="987"/>
      <c r="RSR46" s="987"/>
      <c r="RSS46" s="987"/>
      <c r="RST46" s="987"/>
      <c r="RSU46" s="987"/>
      <c r="RSV46" s="987"/>
      <c r="RSW46" s="987"/>
      <c r="RSX46" s="987"/>
      <c r="RSY46" s="987"/>
      <c r="RSZ46" s="987"/>
      <c r="RTA46" s="987"/>
      <c r="RTB46" s="987"/>
      <c r="RTC46" s="987"/>
      <c r="RTD46" s="987"/>
      <c r="RTE46" s="987"/>
      <c r="RTF46" s="987"/>
      <c r="RTG46" s="987"/>
      <c r="RTH46" s="987"/>
      <c r="RTI46" s="987"/>
      <c r="RTJ46" s="987"/>
      <c r="RTK46" s="987"/>
      <c r="RTL46" s="987"/>
      <c r="RTM46" s="987"/>
      <c r="RTN46" s="987"/>
      <c r="RTO46" s="987"/>
      <c r="RTP46" s="987"/>
      <c r="RTQ46" s="987"/>
      <c r="RTR46" s="987"/>
      <c r="RTS46" s="987"/>
      <c r="RTT46" s="987"/>
      <c r="RTU46" s="987"/>
      <c r="RTV46" s="987"/>
      <c r="RTW46" s="987"/>
      <c r="RTX46" s="987"/>
      <c r="RTY46" s="987"/>
      <c r="RTZ46" s="987"/>
      <c r="RUA46" s="987"/>
      <c r="RUB46" s="987"/>
      <c r="RUC46" s="987"/>
      <c r="RUD46" s="987"/>
      <c r="RUE46" s="987"/>
      <c r="RUF46" s="987"/>
      <c r="RUG46" s="987"/>
      <c r="RUH46" s="987"/>
      <c r="RUI46" s="987"/>
      <c r="RUJ46" s="987"/>
      <c r="RUK46" s="987"/>
      <c r="RUL46" s="987"/>
      <c r="RUM46" s="987"/>
      <c r="RUN46" s="987"/>
      <c r="RUO46" s="987"/>
      <c r="RUP46" s="987"/>
      <c r="RUQ46" s="987"/>
      <c r="RUR46" s="987"/>
      <c r="RUS46" s="987"/>
      <c r="RUT46" s="987"/>
      <c r="RUU46" s="987"/>
      <c r="RUV46" s="987"/>
      <c r="RUW46" s="987"/>
      <c r="RUX46" s="987"/>
      <c r="RUY46" s="987"/>
      <c r="RUZ46" s="987"/>
      <c r="RVA46" s="987"/>
      <c r="RVB46" s="987"/>
      <c r="RVC46" s="987"/>
      <c r="RVD46" s="987"/>
      <c r="RVE46" s="987"/>
      <c r="RVF46" s="987"/>
      <c r="RVG46" s="987"/>
      <c r="RVH46" s="987"/>
      <c r="RVI46" s="987"/>
      <c r="RVJ46" s="987"/>
      <c r="RVK46" s="987"/>
      <c r="RVL46" s="987"/>
      <c r="RVM46" s="987"/>
      <c r="RVN46" s="987"/>
      <c r="RVO46" s="987"/>
      <c r="RVP46" s="987"/>
      <c r="RVQ46" s="987"/>
      <c r="RVR46" s="987"/>
      <c r="RVS46" s="987"/>
      <c r="RVT46" s="987"/>
      <c r="RVU46" s="987"/>
      <c r="RVV46" s="987"/>
      <c r="RVW46" s="987"/>
      <c r="RVX46" s="987"/>
      <c r="RVY46" s="987"/>
      <c r="RVZ46" s="987"/>
      <c r="RWA46" s="987"/>
      <c r="RWB46" s="987"/>
      <c r="RWC46" s="987"/>
      <c r="RWD46" s="987"/>
      <c r="RWE46" s="987"/>
      <c r="RWF46" s="987"/>
      <c r="RWG46" s="987"/>
      <c r="RWH46" s="987"/>
      <c r="RWI46" s="987"/>
      <c r="RWJ46" s="987"/>
      <c r="RWK46" s="987"/>
      <c r="RWL46" s="987"/>
      <c r="RWM46" s="987"/>
      <c r="RWN46" s="987"/>
      <c r="RWO46" s="987"/>
      <c r="RWP46" s="987"/>
      <c r="RWQ46" s="987"/>
      <c r="RWR46" s="987"/>
      <c r="RWS46" s="987"/>
      <c r="RWT46" s="987"/>
      <c r="RWU46" s="987"/>
      <c r="RWV46" s="987"/>
      <c r="RWW46" s="987"/>
      <c r="RWX46" s="987"/>
      <c r="RWY46" s="987"/>
      <c r="RWZ46" s="987"/>
      <c r="RXA46" s="987"/>
      <c r="RXB46" s="987"/>
      <c r="RXC46" s="987"/>
      <c r="RXD46" s="987"/>
      <c r="RXE46" s="987"/>
      <c r="RXF46" s="987"/>
      <c r="RXG46" s="987"/>
      <c r="RXH46" s="987"/>
      <c r="RXI46" s="987"/>
      <c r="RXJ46" s="987"/>
      <c r="RXK46" s="987"/>
      <c r="RXL46" s="987"/>
      <c r="RXM46" s="987"/>
      <c r="RXN46" s="987"/>
      <c r="RXO46" s="987"/>
      <c r="RXP46" s="987"/>
      <c r="RXQ46" s="987"/>
      <c r="RXR46" s="987"/>
      <c r="RXS46" s="987"/>
      <c r="RXT46" s="987"/>
      <c r="RXU46" s="987"/>
      <c r="RXV46" s="987"/>
      <c r="RXW46" s="987"/>
      <c r="RXX46" s="987"/>
      <c r="RXY46" s="987"/>
      <c r="RXZ46" s="987"/>
      <c r="RYA46" s="987"/>
      <c r="RYB46" s="987"/>
      <c r="RYC46" s="987"/>
      <c r="RYD46" s="987"/>
      <c r="RYE46" s="987"/>
      <c r="RYF46" s="987"/>
      <c r="RYG46" s="987"/>
      <c r="RYH46" s="987"/>
      <c r="RYI46" s="987"/>
      <c r="RYJ46" s="987"/>
      <c r="RYK46" s="987"/>
      <c r="RYL46" s="987"/>
      <c r="RYM46" s="987"/>
      <c r="RYN46" s="987"/>
      <c r="RYO46" s="987"/>
      <c r="RYP46" s="987"/>
      <c r="RYQ46" s="987"/>
      <c r="RYR46" s="987"/>
      <c r="RYS46" s="987"/>
      <c r="RYT46" s="987"/>
      <c r="RYU46" s="987"/>
      <c r="RYV46" s="987"/>
      <c r="RYW46" s="987"/>
      <c r="RYX46" s="987"/>
      <c r="RYY46" s="987"/>
      <c r="RYZ46" s="987"/>
      <c r="RZA46" s="987"/>
      <c r="RZB46" s="987"/>
      <c r="RZC46" s="987"/>
      <c r="RZD46" s="987"/>
      <c r="RZE46" s="987"/>
      <c r="RZF46" s="987"/>
      <c r="RZG46" s="987"/>
      <c r="RZH46" s="987"/>
      <c r="RZI46" s="987"/>
      <c r="RZJ46" s="987"/>
      <c r="RZK46" s="987"/>
      <c r="RZL46" s="987"/>
      <c r="RZM46" s="987"/>
      <c r="RZN46" s="987"/>
      <c r="RZO46" s="987"/>
      <c r="RZP46" s="987"/>
      <c r="RZQ46" s="987"/>
      <c r="RZR46" s="987"/>
      <c r="RZS46" s="987"/>
      <c r="RZT46" s="987"/>
      <c r="RZU46" s="987"/>
      <c r="RZV46" s="987"/>
      <c r="RZW46" s="987"/>
      <c r="RZX46" s="987"/>
      <c r="RZY46" s="987"/>
      <c r="RZZ46" s="987"/>
      <c r="SAA46" s="987"/>
      <c r="SAB46" s="987"/>
      <c r="SAC46" s="987"/>
      <c r="SAD46" s="987"/>
      <c r="SAE46" s="987"/>
      <c r="SAF46" s="987"/>
      <c r="SAG46" s="987"/>
      <c r="SAH46" s="987"/>
      <c r="SAI46" s="987"/>
      <c r="SAJ46" s="987"/>
      <c r="SAK46" s="987"/>
      <c r="SAL46" s="987"/>
      <c r="SAM46" s="987"/>
      <c r="SAN46" s="987"/>
      <c r="SAO46" s="987"/>
      <c r="SAP46" s="987"/>
      <c r="SAQ46" s="987"/>
      <c r="SAR46" s="987"/>
      <c r="SAS46" s="987"/>
      <c r="SAT46" s="987"/>
      <c r="SAU46" s="987"/>
      <c r="SAV46" s="987"/>
      <c r="SAW46" s="987"/>
      <c r="SAX46" s="987"/>
      <c r="SAY46" s="987"/>
      <c r="SAZ46" s="987"/>
      <c r="SBA46" s="987"/>
      <c r="SBB46" s="987"/>
      <c r="SBC46" s="987"/>
      <c r="SBD46" s="987"/>
      <c r="SBE46" s="987"/>
      <c r="SBF46" s="987"/>
      <c r="SBG46" s="987"/>
      <c r="SBH46" s="987"/>
      <c r="SBI46" s="987"/>
      <c r="SBJ46" s="987"/>
      <c r="SBK46" s="987"/>
      <c r="SBL46" s="987"/>
      <c r="SBM46" s="987"/>
      <c r="SBN46" s="987"/>
      <c r="SBO46" s="987"/>
      <c r="SBP46" s="987"/>
      <c r="SBQ46" s="987"/>
      <c r="SBR46" s="987"/>
      <c r="SBS46" s="987"/>
      <c r="SBT46" s="987"/>
      <c r="SBU46" s="987"/>
      <c r="SBV46" s="987"/>
      <c r="SBW46" s="987"/>
      <c r="SBX46" s="987"/>
      <c r="SBY46" s="987"/>
      <c r="SBZ46" s="987"/>
      <c r="SCA46" s="987"/>
      <c r="SCB46" s="987"/>
      <c r="SCC46" s="987"/>
      <c r="SCD46" s="987"/>
      <c r="SCE46" s="987"/>
      <c r="SCF46" s="987"/>
      <c r="SCG46" s="987"/>
      <c r="SCH46" s="987"/>
      <c r="SCI46" s="987"/>
      <c r="SCJ46" s="987"/>
      <c r="SCK46" s="987"/>
      <c r="SCL46" s="987"/>
      <c r="SCM46" s="987"/>
      <c r="SCN46" s="987"/>
      <c r="SCO46" s="987"/>
      <c r="SCP46" s="987"/>
      <c r="SCQ46" s="987"/>
      <c r="SCR46" s="987"/>
      <c r="SCS46" s="987"/>
      <c r="SCT46" s="987"/>
      <c r="SCU46" s="987"/>
      <c r="SCV46" s="987"/>
      <c r="SCW46" s="987"/>
      <c r="SCX46" s="987"/>
      <c r="SCY46" s="987"/>
      <c r="SCZ46" s="987"/>
      <c r="SDA46" s="987"/>
      <c r="SDB46" s="987"/>
      <c r="SDC46" s="987"/>
      <c r="SDD46" s="987"/>
      <c r="SDE46" s="987"/>
      <c r="SDF46" s="987"/>
      <c r="SDG46" s="987"/>
      <c r="SDH46" s="987"/>
      <c r="SDI46" s="987"/>
      <c r="SDJ46" s="987"/>
      <c r="SDK46" s="987"/>
      <c r="SDL46" s="987"/>
      <c r="SDM46" s="987"/>
      <c r="SDN46" s="987"/>
      <c r="SDO46" s="987"/>
      <c r="SDP46" s="987"/>
      <c r="SDQ46" s="987"/>
      <c r="SDR46" s="987"/>
      <c r="SDS46" s="987"/>
      <c r="SDT46" s="987"/>
      <c r="SDU46" s="987"/>
      <c r="SDV46" s="987"/>
      <c r="SDW46" s="987"/>
      <c r="SDX46" s="987"/>
      <c r="SDY46" s="987"/>
      <c r="SDZ46" s="987"/>
      <c r="SEA46" s="987"/>
      <c r="SEB46" s="987"/>
      <c r="SEC46" s="987"/>
      <c r="SED46" s="987"/>
      <c r="SEE46" s="987"/>
      <c r="SEF46" s="987"/>
      <c r="SEG46" s="987"/>
      <c r="SEH46" s="987"/>
      <c r="SEI46" s="987"/>
      <c r="SEJ46" s="987"/>
      <c r="SEK46" s="987"/>
      <c r="SEL46" s="987"/>
      <c r="SEM46" s="987"/>
      <c r="SEN46" s="987"/>
      <c r="SEO46" s="987"/>
      <c r="SEP46" s="987"/>
      <c r="SEQ46" s="987"/>
      <c r="SER46" s="987"/>
      <c r="SES46" s="987"/>
      <c r="SET46" s="987"/>
      <c r="SEU46" s="987"/>
      <c r="SEV46" s="987"/>
      <c r="SEW46" s="987"/>
      <c r="SEX46" s="987"/>
      <c r="SEY46" s="987"/>
      <c r="SEZ46" s="987"/>
      <c r="SFA46" s="987"/>
      <c r="SFB46" s="987"/>
      <c r="SFC46" s="987"/>
      <c r="SFD46" s="987"/>
      <c r="SFE46" s="987"/>
      <c r="SFF46" s="987"/>
      <c r="SFG46" s="987"/>
      <c r="SFH46" s="987"/>
      <c r="SFI46" s="987"/>
      <c r="SFJ46" s="987"/>
      <c r="SFK46" s="987"/>
      <c r="SFL46" s="987"/>
      <c r="SFM46" s="987"/>
      <c r="SFN46" s="987"/>
      <c r="SFO46" s="987"/>
      <c r="SFP46" s="987"/>
      <c r="SFQ46" s="987"/>
      <c r="SFR46" s="987"/>
      <c r="SFS46" s="987"/>
      <c r="SFT46" s="987"/>
      <c r="SFU46" s="987"/>
      <c r="SFV46" s="987"/>
      <c r="SFW46" s="987"/>
      <c r="SFX46" s="987"/>
      <c r="SFY46" s="987"/>
      <c r="SFZ46" s="987"/>
      <c r="SGA46" s="987"/>
      <c r="SGB46" s="987"/>
      <c r="SGC46" s="987"/>
      <c r="SGD46" s="987"/>
      <c r="SGE46" s="987"/>
      <c r="SGF46" s="987"/>
      <c r="SGG46" s="987"/>
      <c r="SGH46" s="987"/>
      <c r="SGI46" s="987"/>
      <c r="SGJ46" s="987"/>
      <c r="SGK46" s="987"/>
      <c r="SGL46" s="987"/>
      <c r="SGM46" s="987"/>
      <c r="SGN46" s="987"/>
      <c r="SGO46" s="987"/>
      <c r="SGP46" s="987"/>
      <c r="SGQ46" s="987"/>
      <c r="SGR46" s="987"/>
      <c r="SGS46" s="987"/>
      <c r="SGT46" s="987"/>
      <c r="SGU46" s="987"/>
      <c r="SGV46" s="987"/>
      <c r="SGW46" s="987"/>
      <c r="SGX46" s="987"/>
      <c r="SGY46" s="987"/>
      <c r="SGZ46" s="987"/>
      <c r="SHA46" s="987"/>
      <c r="SHB46" s="987"/>
      <c r="SHC46" s="987"/>
      <c r="SHD46" s="987"/>
      <c r="SHE46" s="987"/>
      <c r="SHF46" s="987"/>
      <c r="SHG46" s="987"/>
      <c r="SHH46" s="987"/>
      <c r="SHI46" s="987"/>
      <c r="SHJ46" s="987"/>
      <c r="SHK46" s="987"/>
      <c r="SHL46" s="987"/>
      <c r="SHM46" s="987"/>
      <c r="SHN46" s="987"/>
      <c r="SHO46" s="987"/>
      <c r="SHP46" s="987"/>
      <c r="SHQ46" s="987"/>
      <c r="SHR46" s="987"/>
      <c r="SHS46" s="987"/>
      <c r="SHT46" s="987"/>
      <c r="SHU46" s="987"/>
      <c r="SHV46" s="987"/>
      <c r="SHW46" s="987"/>
      <c r="SHX46" s="987"/>
      <c r="SHY46" s="987"/>
      <c r="SHZ46" s="987"/>
      <c r="SIA46" s="987"/>
      <c r="SIB46" s="987"/>
      <c r="SIC46" s="987"/>
      <c r="SID46" s="987"/>
      <c r="SIE46" s="987"/>
      <c r="SIF46" s="987"/>
      <c r="SIG46" s="987"/>
      <c r="SIH46" s="987"/>
      <c r="SII46" s="987"/>
      <c r="SIJ46" s="987"/>
      <c r="SIK46" s="987"/>
      <c r="SIL46" s="987"/>
      <c r="SIM46" s="987"/>
      <c r="SIN46" s="987"/>
      <c r="SIO46" s="987"/>
      <c r="SIP46" s="987"/>
      <c r="SIQ46" s="987"/>
      <c r="SIR46" s="987"/>
      <c r="SIS46" s="987"/>
      <c r="SIT46" s="987"/>
      <c r="SIU46" s="987"/>
      <c r="SIV46" s="987"/>
      <c r="SIW46" s="987"/>
      <c r="SIX46" s="987"/>
      <c r="SIY46" s="987"/>
      <c r="SIZ46" s="987"/>
      <c r="SJA46" s="987"/>
      <c r="SJB46" s="987"/>
      <c r="SJC46" s="987"/>
      <c r="SJD46" s="987"/>
      <c r="SJE46" s="987"/>
      <c r="SJF46" s="987"/>
      <c r="SJG46" s="987"/>
      <c r="SJH46" s="987"/>
      <c r="SJI46" s="987"/>
      <c r="SJJ46" s="987"/>
      <c r="SJK46" s="987"/>
      <c r="SJL46" s="987"/>
      <c r="SJM46" s="987"/>
      <c r="SJN46" s="987"/>
      <c r="SJO46" s="987"/>
      <c r="SJP46" s="987"/>
      <c r="SJQ46" s="987"/>
      <c r="SJR46" s="987"/>
      <c r="SJS46" s="987"/>
      <c r="SJT46" s="987"/>
      <c r="SJU46" s="987"/>
      <c r="SJV46" s="987"/>
      <c r="SJW46" s="987"/>
      <c r="SJX46" s="987"/>
      <c r="SJY46" s="987"/>
      <c r="SJZ46" s="987"/>
      <c r="SKA46" s="987"/>
      <c r="SKB46" s="987"/>
      <c r="SKC46" s="987"/>
      <c r="SKD46" s="987"/>
      <c r="SKE46" s="987"/>
      <c r="SKF46" s="987"/>
      <c r="SKG46" s="987"/>
      <c r="SKH46" s="987"/>
      <c r="SKI46" s="987"/>
      <c r="SKJ46" s="987"/>
      <c r="SKK46" s="987"/>
      <c r="SKL46" s="987"/>
      <c r="SKM46" s="987"/>
      <c r="SKN46" s="987"/>
      <c r="SKO46" s="987"/>
      <c r="SKP46" s="987"/>
      <c r="SKQ46" s="987"/>
      <c r="SKR46" s="987"/>
      <c r="SKS46" s="987"/>
      <c r="SKT46" s="987"/>
      <c r="SKU46" s="987"/>
      <c r="SKV46" s="987"/>
      <c r="SKW46" s="987"/>
      <c r="SKX46" s="987"/>
      <c r="SKY46" s="987"/>
      <c r="SKZ46" s="987"/>
      <c r="SLA46" s="987"/>
      <c r="SLB46" s="987"/>
      <c r="SLC46" s="987"/>
      <c r="SLD46" s="987"/>
      <c r="SLE46" s="987"/>
      <c r="SLF46" s="987"/>
      <c r="SLG46" s="987"/>
      <c r="SLH46" s="987"/>
      <c r="SLI46" s="987"/>
      <c r="SLJ46" s="987"/>
      <c r="SLK46" s="987"/>
      <c r="SLL46" s="987"/>
      <c r="SLM46" s="987"/>
      <c r="SLN46" s="987"/>
      <c r="SLO46" s="987"/>
      <c r="SLP46" s="987"/>
      <c r="SLQ46" s="987"/>
      <c r="SLR46" s="987"/>
      <c r="SLS46" s="987"/>
      <c r="SLT46" s="987"/>
      <c r="SLU46" s="987"/>
      <c r="SLV46" s="987"/>
      <c r="SLW46" s="987"/>
      <c r="SLX46" s="987"/>
      <c r="SLY46" s="987"/>
      <c r="SLZ46" s="987"/>
      <c r="SMA46" s="987"/>
      <c r="SMB46" s="987"/>
      <c r="SMC46" s="987"/>
      <c r="SMD46" s="987"/>
      <c r="SME46" s="987"/>
      <c r="SMF46" s="987"/>
      <c r="SMG46" s="987"/>
      <c r="SMH46" s="987"/>
      <c r="SMI46" s="987"/>
      <c r="SMJ46" s="987"/>
      <c r="SMK46" s="987"/>
      <c r="SML46" s="987"/>
      <c r="SMM46" s="987"/>
      <c r="SMN46" s="987"/>
      <c r="SMO46" s="987"/>
      <c r="SMP46" s="987"/>
      <c r="SMQ46" s="987"/>
      <c r="SMR46" s="987"/>
      <c r="SMS46" s="987"/>
      <c r="SMT46" s="987"/>
      <c r="SMU46" s="987"/>
      <c r="SMV46" s="987"/>
      <c r="SMW46" s="987"/>
      <c r="SMX46" s="987"/>
      <c r="SMY46" s="987"/>
      <c r="SMZ46" s="987"/>
      <c r="SNA46" s="987"/>
      <c r="SNB46" s="987"/>
      <c r="SNC46" s="987"/>
      <c r="SND46" s="987"/>
      <c r="SNE46" s="987"/>
      <c r="SNF46" s="987"/>
      <c r="SNG46" s="987"/>
      <c r="SNH46" s="987"/>
      <c r="SNI46" s="987"/>
      <c r="SNJ46" s="987"/>
      <c r="SNK46" s="987"/>
      <c r="SNL46" s="987"/>
      <c r="SNM46" s="987"/>
      <c r="SNN46" s="987"/>
      <c r="SNO46" s="987"/>
      <c r="SNP46" s="987"/>
      <c r="SNQ46" s="987"/>
      <c r="SNR46" s="987"/>
      <c r="SNS46" s="987"/>
      <c r="SNT46" s="987"/>
      <c r="SNU46" s="987"/>
      <c r="SNV46" s="987"/>
      <c r="SNW46" s="987"/>
      <c r="SNX46" s="987"/>
      <c r="SNY46" s="987"/>
      <c r="SNZ46" s="987"/>
      <c r="SOA46" s="987"/>
      <c r="SOB46" s="987"/>
      <c r="SOC46" s="987"/>
      <c r="SOD46" s="987"/>
      <c r="SOE46" s="987"/>
      <c r="SOF46" s="987"/>
      <c r="SOG46" s="987"/>
      <c r="SOH46" s="987"/>
      <c r="SOI46" s="987"/>
      <c r="SOJ46" s="987"/>
      <c r="SOK46" s="987"/>
      <c r="SOL46" s="987"/>
      <c r="SOM46" s="987"/>
      <c r="SON46" s="987"/>
      <c r="SOO46" s="987"/>
      <c r="SOP46" s="987"/>
      <c r="SOQ46" s="987"/>
      <c r="SOR46" s="987"/>
      <c r="SOS46" s="987"/>
      <c r="SOT46" s="987"/>
      <c r="SOU46" s="987"/>
      <c r="SOV46" s="987"/>
      <c r="SOW46" s="987"/>
      <c r="SOX46" s="987"/>
      <c r="SOY46" s="987"/>
      <c r="SOZ46" s="987"/>
      <c r="SPA46" s="987"/>
      <c r="SPB46" s="987"/>
      <c r="SPC46" s="987"/>
      <c r="SPD46" s="987"/>
      <c r="SPE46" s="987"/>
      <c r="SPF46" s="987"/>
      <c r="SPG46" s="987"/>
      <c r="SPH46" s="987"/>
      <c r="SPI46" s="987"/>
      <c r="SPJ46" s="987"/>
      <c r="SPK46" s="987"/>
      <c r="SPL46" s="987"/>
      <c r="SPM46" s="987"/>
      <c r="SPN46" s="987"/>
      <c r="SPO46" s="987"/>
      <c r="SPP46" s="987"/>
      <c r="SPQ46" s="987"/>
      <c r="SPR46" s="987"/>
      <c r="SPS46" s="987"/>
      <c r="SPT46" s="987"/>
      <c r="SPU46" s="987"/>
      <c r="SPV46" s="987"/>
      <c r="SPW46" s="987"/>
      <c r="SPX46" s="987"/>
      <c r="SPY46" s="987"/>
      <c r="SPZ46" s="987"/>
      <c r="SQA46" s="987"/>
      <c r="SQB46" s="987"/>
      <c r="SQC46" s="987"/>
      <c r="SQD46" s="987"/>
      <c r="SQE46" s="987"/>
      <c r="SQF46" s="987"/>
      <c r="SQG46" s="987"/>
      <c r="SQH46" s="987"/>
      <c r="SQI46" s="987"/>
      <c r="SQJ46" s="987"/>
      <c r="SQK46" s="987"/>
      <c r="SQL46" s="987"/>
      <c r="SQM46" s="987"/>
      <c r="SQN46" s="987"/>
      <c r="SQO46" s="987"/>
      <c r="SQP46" s="987"/>
      <c r="SQQ46" s="987"/>
      <c r="SQR46" s="987"/>
      <c r="SQS46" s="987"/>
      <c r="SQT46" s="987"/>
      <c r="SQU46" s="987"/>
      <c r="SQV46" s="987"/>
      <c r="SQW46" s="987"/>
      <c r="SQX46" s="987"/>
      <c r="SQY46" s="987"/>
      <c r="SQZ46" s="987"/>
      <c r="SRA46" s="987"/>
      <c r="SRB46" s="987"/>
      <c r="SRC46" s="987"/>
      <c r="SRD46" s="987"/>
      <c r="SRE46" s="987"/>
      <c r="SRF46" s="987"/>
      <c r="SRG46" s="987"/>
      <c r="SRH46" s="987"/>
      <c r="SRI46" s="987"/>
      <c r="SRJ46" s="987"/>
      <c r="SRK46" s="987"/>
      <c r="SRL46" s="987"/>
      <c r="SRM46" s="987"/>
      <c r="SRN46" s="987"/>
      <c r="SRO46" s="987"/>
      <c r="SRP46" s="987"/>
      <c r="SRQ46" s="987"/>
      <c r="SRR46" s="987"/>
      <c r="SRS46" s="987"/>
      <c r="SRT46" s="987"/>
      <c r="SRU46" s="987"/>
      <c r="SRV46" s="987"/>
      <c r="SRW46" s="987"/>
      <c r="SRX46" s="987"/>
      <c r="SRY46" s="987"/>
      <c r="SRZ46" s="987"/>
      <c r="SSA46" s="987"/>
      <c r="SSB46" s="987"/>
      <c r="SSC46" s="987"/>
      <c r="SSD46" s="987"/>
      <c r="SSE46" s="987"/>
      <c r="SSF46" s="987"/>
      <c r="SSG46" s="987"/>
      <c r="SSH46" s="987"/>
      <c r="SSI46" s="987"/>
      <c r="SSJ46" s="987"/>
      <c r="SSK46" s="987"/>
      <c r="SSL46" s="987"/>
      <c r="SSM46" s="987"/>
      <c r="SSN46" s="987"/>
      <c r="SSO46" s="987"/>
      <c r="SSP46" s="987"/>
      <c r="SSQ46" s="987"/>
      <c r="SSR46" s="987"/>
      <c r="SSS46" s="987"/>
      <c r="SST46" s="987"/>
      <c r="SSU46" s="987"/>
      <c r="SSV46" s="987"/>
      <c r="SSW46" s="987"/>
      <c r="SSX46" s="987"/>
      <c r="SSY46" s="987"/>
      <c r="SSZ46" s="987"/>
      <c r="STA46" s="987"/>
      <c r="STB46" s="987"/>
      <c r="STC46" s="987"/>
      <c r="STD46" s="987"/>
      <c r="STE46" s="987"/>
      <c r="STF46" s="987"/>
      <c r="STG46" s="987"/>
      <c r="STH46" s="987"/>
      <c r="STI46" s="987"/>
      <c r="STJ46" s="987"/>
      <c r="STK46" s="987"/>
      <c r="STL46" s="987"/>
      <c r="STM46" s="987"/>
      <c r="STN46" s="987"/>
      <c r="STO46" s="987"/>
      <c r="STP46" s="987"/>
      <c r="STQ46" s="987"/>
      <c r="STR46" s="987"/>
      <c r="STS46" s="987"/>
      <c r="STT46" s="987"/>
      <c r="STU46" s="987"/>
      <c r="STV46" s="987"/>
      <c r="STW46" s="987"/>
      <c r="STX46" s="987"/>
      <c r="STY46" s="987"/>
      <c r="STZ46" s="987"/>
      <c r="SUA46" s="987"/>
      <c r="SUB46" s="987"/>
      <c r="SUC46" s="987"/>
      <c r="SUD46" s="987"/>
      <c r="SUE46" s="987"/>
      <c r="SUF46" s="987"/>
      <c r="SUG46" s="987"/>
      <c r="SUH46" s="987"/>
      <c r="SUI46" s="987"/>
      <c r="SUJ46" s="987"/>
      <c r="SUK46" s="987"/>
      <c r="SUL46" s="987"/>
      <c r="SUM46" s="987"/>
      <c r="SUN46" s="987"/>
      <c r="SUO46" s="987"/>
      <c r="SUP46" s="987"/>
      <c r="SUQ46" s="987"/>
      <c r="SUR46" s="987"/>
      <c r="SUS46" s="987"/>
      <c r="SUT46" s="987"/>
      <c r="SUU46" s="987"/>
      <c r="SUV46" s="987"/>
      <c r="SUW46" s="987"/>
      <c r="SUX46" s="987"/>
      <c r="SUY46" s="987"/>
      <c r="SUZ46" s="987"/>
      <c r="SVA46" s="987"/>
      <c r="SVB46" s="987"/>
      <c r="SVC46" s="987"/>
      <c r="SVD46" s="987"/>
      <c r="SVE46" s="987"/>
      <c r="SVF46" s="987"/>
      <c r="SVG46" s="987"/>
      <c r="SVH46" s="987"/>
      <c r="SVI46" s="987"/>
      <c r="SVJ46" s="987"/>
      <c r="SVK46" s="987"/>
      <c r="SVL46" s="987"/>
      <c r="SVM46" s="987"/>
      <c r="SVN46" s="987"/>
      <c r="SVO46" s="987"/>
      <c r="SVP46" s="987"/>
      <c r="SVQ46" s="987"/>
      <c r="SVR46" s="987"/>
      <c r="SVS46" s="987"/>
      <c r="SVT46" s="987"/>
      <c r="SVU46" s="987"/>
      <c r="SVV46" s="987"/>
      <c r="SVW46" s="987"/>
      <c r="SVX46" s="987"/>
      <c r="SVY46" s="987"/>
      <c r="SVZ46" s="987"/>
      <c r="SWA46" s="987"/>
      <c r="SWB46" s="987"/>
      <c r="SWC46" s="987"/>
      <c r="SWD46" s="987"/>
      <c r="SWE46" s="987"/>
      <c r="SWF46" s="987"/>
      <c r="SWG46" s="987"/>
      <c r="SWH46" s="987"/>
      <c r="SWI46" s="987"/>
      <c r="SWJ46" s="987"/>
      <c r="SWK46" s="987"/>
      <c r="SWL46" s="987"/>
      <c r="SWM46" s="987"/>
      <c r="SWN46" s="987"/>
      <c r="SWO46" s="987"/>
      <c r="SWP46" s="987"/>
      <c r="SWQ46" s="987"/>
      <c r="SWR46" s="987"/>
      <c r="SWS46" s="987"/>
      <c r="SWT46" s="987"/>
      <c r="SWU46" s="987"/>
      <c r="SWV46" s="987"/>
      <c r="SWW46" s="987"/>
      <c r="SWX46" s="987"/>
      <c r="SWY46" s="987"/>
      <c r="SWZ46" s="987"/>
      <c r="SXA46" s="987"/>
      <c r="SXB46" s="987"/>
      <c r="SXC46" s="987"/>
      <c r="SXD46" s="987"/>
      <c r="SXE46" s="987"/>
      <c r="SXF46" s="987"/>
      <c r="SXG46" s="987"/>
      <c r="SXH46" s="987"/>
      <c r="SXI46" s="987"/>
      <c r="SXJ46" s="987"/>
      <c r="SXK46" s="987"/>
      <c r="SXL46" s="987"/>
      <c r="SXM46" s="987"/>
      <c r="SXN46" s="987"/>
      <c r="SXO46" s="987"/>
      <c r="SXP46" s="987"/>
      <c r="SXQ46" s="987"/>
      <c r="SXR46" s="987"/>
      <c r="SXS46" s="987"/>
      <c r="SXT46" s="987"/>
      <c r="SXU46" s="987"/>
      <c r="SXV46" s="987"/>
      <c r="SXW46" s="987"/>
      <c r="SXX46" s="987"/>
      <c r="SXY46" s="987"/>
      <c r="SXZ46" s="987"/>
      <c r="SYA46" s="987"/>
      <c r="SYB46" s="987"/>
      <c r="SYC46" s="987"/>
      <c r="SYD46" s="987"/>
      <c r="SYE46" s="987"/>
      <c r="SYF46" s="987"/>
      <c r="SYG46" s="987"/>
      <c r="SYH46" s="987"/>
      <c r="SYI46" s="987"/>
      <c r="SYJ46" s="987"/>
      <c r="SYK46" s="987"/>
      <c r="SYL46" s="987"/>
      <c r="SYM46" s="987"/>
      <c r="SYN46" s="987"/>
      <c r="SYO46" s="987"/>
      <c r="SYP46" s="987"/>
      <c r="SYQ46" s="987"/>
      <c r="SYR46" s="987"/>
      <c r="SYS46" s="987"/>
      <c r="SYT46" s="987"/>
      <c r="SYU46" s="987"/>
      <c r="SYV46" s="987"/>
      <c r="SYW46" s="987"/>
      <c r="SYX46" s="987"/>
      <c r="SYY46" s="987"/>
      <c r="SYZ46" s="987"/>
      <c r="SZA46" s="987"/>
      <c r="SZB46" s="987"/>
      <c r="SZC46" s="987"/>
      <c r="SZD46" s="987"/>
      <c r="SZE46" s="987"/>
      <c r="SZF46" s="987"/>
      <c r="SZG46" s="987"/>
      <c r="SZH46" s="987"/>
      <c r="SZI46" s="987"/>
      <c r="SZJ46" s="987"/>
      <c r="SZK46" s="987"/>
      <c r="SZL46" s="987"/>
      <c r="SZM46" s="987"/>
      <c r="SZN46" s="987"/>
      <c r="SZO46" s="987"/>
      <c r="SZP46" s="987"/>
      <c r="SZQ46" s="987"/>
      <c r="SZR46" s="987"/>
      <c r="SZS46" s="987"/>
      <c r="SZT46" s="987"/>
      <c r="SZU46" s="987"/>
      <c r="SZV46" s="987"/>
      <c r="SZW46" s="987"/>
      <c r="SZX46" s="987"/>
      <c r="SZY46" s="987"/>
      <c r="SZZ46" s="987"/>
      <c r="TAA46" s="987"/>
      <c r="TAB46" s="987"/>
      <c r="TAC46" s="987"/>
      <c r="TAD46" s="987"/>
      <c r="TAE46" s="987"/>
      <c r="TAF46" s="987"/>
      <c r="TAG46" s="987"/>
      <c r="TAH46" s="987"/>
      <c r="TAI46" s="987"/>
      <c r="TAJ46" s="987"/>
      <c r="TAK46" s="987"/>
      <c r="TAL46" s="987"/>
      <c r="TAM46" s="987"/>
      <c r="TAN46" s="987"/>
      <c r="TAO46" s="987"/>
      <c r="TAP46" s="987"/>
      <c r="TAQ46" s="987"/>
      <c r="TAR46" s="987"/>
      <c r="TAS46" s="987"/>
      <c r="TAT46" s="987"/>
      <c r="TAU46" s="987"/>
      <c r="TAV46" s="987"/>
      <c r="TAW46" s="987"/>
      <c r="TAX46" s="987"/>
      <c r="TAY46" s="987"/>
      <c r="TAZ46" s="987"/>
      <c r="TBA46" s="987"/>
      <c r="TBB46" s="987"/>
      <c r="TBC46" s="987"/>
      <c r="TBD46" s="987"/>
      <c r="TBE46" s="987"/>
      <c r="TBF46" s="987"/>
      <c r="TBG46" s="987"/>
      <c r="TBH46" s="987"/>
      <c r="TBI46" s="987"/>
      <c r="TBJ46" s="987"/>
      <c r="TBK46" s="987"/>
      <c r="TBL46" s="987"/>
      <c r="TBM46" s="987"/>
      <c r="TBN46" s="987"/>
      <c r="TBO46" s="987"/>
      <c r="TBP46" s="987"/>
      <c r="TBQ46" s="987"/>
      <c r="TBR46" s="987"/>
      <c r="TBS46" s="987"/>
      <c r="TBT46" s="987"/>
      <c r="TBU46" s="987"/>
      <c r="TBV46" s="987"/>
      <c r="TBW46" s="987"/>
      <c r="TBX46" s="987"/>
      <c r="TBY46" s="987"/>
      <c r="TBZ46" s="987"/>
      <c r="TCA46" s="987"/>
      <c r="TCB46" s="987"/>
      <c r="TCC46" s="987"/>
      <c r="TCD46" s="987"/>
      <c r="TCE46" s="987"/>
      <c r="TCF46" s="987"/>
      <c r="TCG46" s="987"/>
      <c r="TCH46" s="987"/>
      <c r="TCI46" s="987"/>
      <c r="TCJ46" s="987"/>
      <c r="TCK46" s="987"/>
      <c r="TCL46" s="987"/>
      <c r="TCM46" s="987"/>
      <c r="TCN46" s="987"/>
      <c r="TCO46" s="987"/>
      <c r="TCP46" s="987"/>
      <c r="TCQ46" s="987"/>
      <c r="TCR46" s="987"/>
      <c r="TCS46" s="987"/>
      <c r="TCT46" s="987"/>
      <c r="TCU46" s="987"/>
      <c r="TCV46" s="987"/>
      <c r="TCW46" s="987"/>
      <c r="TCX46" s="987"/>
      <c r="TCY46" s="987"/>
      <c r="TCZ46" s="987"/>
      <c r="TDA46" s="987"/>
      <c r="TDB46" s="987"/>
      <c r="TDC46" s="987"/>
      <c r="TDD46" s="987"/>
      <c r="TDE46" s="987"/>
      <c r="TDF46" s="987"/>
      <c r="TDG46" s="987"/>
      <c r="TDH46" s="987"/>
      <c r="TDI46" s="987"/>
      <c r="TDJ46" s="987"/>
      <c r="TDK46" s="987"/>
      <c r="TDL46" s="987"/>
      <c r="TDM46" s="987"/>
      <c r="TDN46" s="987"/>
      <c r="TDO46" s="987"/>
      <c r="TDP46" s="987"/>
      <c r="TDQ46" s="987"/>
      <c r="TDR46" s="987"/>
      <c r="TDS46" s="987"/>
      <c r="TDT46" s="987"/>
      <c r="TDU46" s="987"/>
      <c r="TDV46" s="987"/>
      <c r="TDW46" s="987"/>
      <c r="TDX46" s="987"/>
      <c r="TDY46" s="987"/>
      <c r="TDZ46" s="987"/>
      <c r="TEA46" s="987"/>
      <c r="TEB46" s="987"/>
      <c r="TEC46" s="987"/>
      <c r="TED46" s="987"/>
      <c r="TEE46" s="987"/>
      <c r="TEF46" s="987"/>
      <c r="TEG46" s="987"/>
      <c r="TEH46" s="987"/>
      <c r="TEI46" s="987"/>
      <c r="TEJ46" s="987"/>
      <c r="TEK46" s="987"/>
      <c r="TEL46" s="987"/>
      <c r="TEM46" s="987"/>
      <c r="TEN46" s="987"/>
      <c r="TEO46" s="987"/>
      <c r="TEP46" s="987"/>
      <c r="TEQ46" s="987"/>
      <c r="TER46" s="987"/>
      <c r="TES46" s="987"/>
      <c r="TET46" s="987"/>
      <c r="TEU46" s="987"/>
      <c r="TEV46" s="987"/>
      <c r="TEW46" s="987"/>
      <c r="TEX46" s="987"/>
      <c r="TEY46" s="987"/>
      <c r="TEZ46" s="987"/>
      <c r="TFA46" s="987"/>
      <c r="TFB46" s="987"/>
      <c r="TFC46" s="987"/>
      <c r="TFD46" s="987"/>
      <c r="TFE46" s="987"/>
      <c r="TFF46" s="987"/>
      <c r="TFG46" s="987"/>
      <c r="TFH46" s="987"/>
      <c r="TFI46" s="987"/>
      <c r="TFJ46" s="987"/>
      <c r="TFK46" s="987"/>
      <c r="TFL46" s="987"/>
      <c r="TFM46" s="987"/>
      <c r="TFN46" s="987"/>
      <c r="TFO46" s="987"/>
      <c r="TFP46" s="987"/>
      <c r="TFQ46" s="987"/>
      <c r="TFR46" s="987"/>
      <c r="TFS46" s="987"/>
      <c r="TFT46" s="987"/>
      <c r="TFU46" s="987"/>
      <c r="TFV46" s="987"/>
      <c r="TFW46" s="987"/>
      <c r="TFX46" s="987"/>
      <c r="TFY46" s="987"/>
      <c r="TFZ46" s="987"/>
      <c r="TGA46" s="987"/>
      <c r="TGB46" s="987"/>
      <c r="TGC46" s="987"/>
      <c r="TGD46" s="987"/>
      <c r="TGE46" s="987"/>
      <c r="TGF46" s="987"/>
      <c r="TGG46" s="987"/>
      <c r="TGH46" s="987"/>
      <c r="TGI46" s="987"/>
      <c r="TGJ46" s="987"/>
      <c r="TGK46" s="987"/>
      <c r="TGL46" s="987"/>
      <c r="TGM46" s="987"/>
      <c r="TGN46" s="987"/>
      <c r="TGO46" s="987"/>
      <c r="TGP46" s="987"/>
      <c r="TGQ46" s="987"/>
      <c r="TGR46" s="987"/>
      <c r="TGS46" s="987"/>
      <c r="TGT46" s="987"/>
      <c r="TGU46" s="987"/>
      <c r="TGV46" s="987"/>
      <c r="TGW46" s="987"/>
      <c r="TGX46" s="987"/>
      <c r="TGY46" s="987"/>
      <c r="TGZ46" s="987"/>
      <c r="THA46" s="987"/>
      <c r="THB46" s="987"/>
      <c r="THC46" s="987"/>
      <c r="THD46" s="987"/>
      <c r="THE46" s="987"/>
      <c r="THF46" s="987"/>
      <c r="THG46" s="987"/>
      <c r="THH46" s="987"/>
      <c r="THI46" s="987"/>
      <c r="THJ46" s="987"/>
      <c r="THK46" s="987"/>
      <c r="THL46" s="987"/>
      <c r="THM46" s="987"/>
      <c r="THN46" s="987"/>
      <c r="THO46" s="987"/>
      <c r="THP46" s="987"/>
      <c r="THQ46" s="987"/>
      <c r="THR46" s="987"/>
      <c r="THS46" s="987"/>
      <c r="THT46" s="987"/>
      <c r="THU46" s="987"/>
      <c r="THV46" s="987"/>
      <c r="THW46" s="987"/>
      <c r="THX46" s="987"/>
      <c r="THY46" s="987"/>
      <c r="THZ46" s="987"/>
      <c r="TIA46" s="987"/>
      <c r="TIB46" s="987"/>
      <c r="TIC46" s="987"/>
      <c r="TID46" s="987"/>
      <c r="TIE46" s="987"/>
      <c r="TIF46" s="987"/>
      <c r="TIG46" s="987"/>
      <c r="TIH46" s="987"/>
      <c r="TII46" s="987"/>
      <c r="TIJ46" s="987"/>
      <c r="TIK46" s="987"/>
      <c r="TIL46" s="987"/>
      <c r="TIM46" s="987"/>
      <c r="TIN46" s="987"/>
      <c r="TIO46" s="987"/>
      <c r="TIP46" s="987"/>
      <c r="TIQ46" s="987"/>
      <c r="TIR46" s="987"/>
      <c r="TIS46" s="987"/>
      <c r="TIT46" s="987"/>
      <c r="TIU46" s="987"/>
      <c r="TIV46" s="987"/>
      <c r="TIW46" s="987"/>
      <c r="TIX46" s="987"/>
      <c r="TIY46" s="987"/>
      <c r="TIZ46" s="987"/>
      <c r="TJA46" s="987"/>
      <c r="TJB46" s="987"/>
      <c r="TJC46" s="987"/>
      <c r="TJD46" s="987"/>
      <c r="TJE46" s="987"/>
      <c r="TJF46" s="987"/>
      <c r="TJG46" s="987"/>
      <c r="TJH46" s="987"/>
      <c r="TJI46" s="987"/>
      <c r="TJJ46" s="987"/>
      <c r="TJK46" s="987"/>
      <c r="TJL46" s="987"/>
      <c r="TJM46" s="987"/>
      <c r="TJN46" s="987"/>
      <c r="TJO46" s="987"/>
      <c r="TJP46" s="987"/>
      <c r="TJQ46" s="987"/>
      <c r="TJR46" s="987"/>
      <c r="TJS46" s="987"/>
      <c r="TJT46" s="987"/>
      <c r="TJU46" s="987"/>
      <c r="TJV46" s="987"/>
      <c r="TJW46" s="987"/>
      <c r="TJX46" s="987"/>
      <c r="TJY46" s="987"/>
      <c r="TJZ46" s="987"/>
      <c r="TKA46" s="987"/>
      <c r="TKB46" s="987"/>
      <c r="TKC46" s="987"/>
      <c r="TKD46" s="987"/>
      <c r="TKE46" s="987"/>
      <c r="TKF46" s="987"/>
      <c r="TKG46" s="987"/>
      <c r="TKH46" s="987"/>
      <c r="TKI46" s="987"/>
      <c r="TKJ46" s="987"/>
      <c r="TKK46" s="987"/>
      <c r="TKL46" s="987"/>
      <c r="TKM46" s="987"/>
      <c r="TKN46" s="987"/>
      <c r="TKO46" s="987"/>
      <c r="TKP46" s="987"/>
      <c r="TKQ46" s="987"/>
      <c r="TKR46" s="987"/>
      <c r="TKS46" s="987"/>
      <c r="TKT46" s="987"/>
      <c r="TKU46" s="987"/>
      <c r="TKV46" s="987"/>
      <c r="TKW46" s="987"/>
      <c r="TKX46" s="987"/>
      <c r="TKY46" s="987"/>
      <c r="TKZ46" s="987"/>
      <c r="TLA46" s="987"/>
      <c r="TLB46" s="987"/>
      <c r="TLC46" s="987"/>
      <c r="TLD46" s="987"/>
      <c r="TLE46" s="987"/>
      <c r="TLF46" s="987"/>
      <c r="TLG46" s="987"/>
      <c r="TLH46" s="987"/>
      <c r="TLI46" s="987"/>
      <c r="TLJ46" s="987"/>
      <c r="TLK46" s="987"/>
      <c r="TLL46" s="987"/>
      <c r="TLM46" s="987"/>
      <c r="TLN46" s="987"/>
      <c r="TLO46" s="987"/>
      <c r="TLP46" s="987"/>
      <c r="TLQ46" s="987"/>
      <c r="TLR46" s="987"/>
      <c r="TLS46" s="987"/>
      <c r="TLT46" s="987"/>
      <c r="TLU46" s="987"/>
      <c r="TLV46" s="987"/>
      <c r="TLW46" s="987"/>
      <c r="TLX46" s="987"/>
      <c r="TLY46" s="987"/>
      <c r="TLZ46" s="987"/>
      <c r="TMA46" s="987"/>
      <c r="TMB46" s="987"/>
      <c r="TMC46" s="987"/>
      <c r="TMD46" s="987"/>
      <c r="TME46" s="987"/>
      <c r="TMF46" s="987"/>
      <c r="TMG46" s="987"/>
      <c r="TMH46" s="987"/>
      <c r="TMI46" s="987"/>
      <c r="TMJ46" s="987"/>
      <c r="TMK46" s="987"/>
      <c r="TML46" s="987"/>
      <c r="TMM46" s="987"/>
      <c r="TMN46" s="987"/>
      <c r="TMO46" s="987"/>
      <c r="TMP46" s="987"/>
      <c r="TMQ46" s="987"/>
      <c r="TMR46" s="987"/>
      <c r="TMS46" s="987"/>
      <c r="TMT46" s="987"/>
      <c r="TMU46" s="987"/>
      <c r="TMV46" s="987"/>
      <c r="TMW46" s="987"/>
      <c r="TMX46" s="987"/>
      <c r="TMY46" s="987"/>
      <c r="TMZ46" s="987"/>
      <c r="TNA46" s="987"/>
      <c r="TNB46" s="987"/>
      <c r="TNC46" s="987"/>
      <c r="TND46" s="987"/>
      <c r="TNE46" s="987"/>
      <c r="TNF46" s="987"/>
      <c r="TNG46" s="987"/>
      <c r="TNH46" s="987"/>
      <c r="TNI46" s="987"/>
      <c r="TNJ46" s="987"/>
      <c r="TNK46" s="987"/>
      <c r="TNL46" s="987"/>
      <c r="TNM46" s="987"/>
      <c r="TNN46" s="987"/>
      <c r="TNO46" s="987"/>
      <c r="TNP46" s="987"/>
      <c r="TNQ46" s="987"/>
      <c r="TNR46" s="987"/>
      <c r="TNS46" s="987"/>
      <c r="TNT46" s="987"/>
      <c r="TNU46" s="987"/>
      <c r="TNV46" s="987"/>
      <c r="TNW46" s="987"/>
      <c r="TNX46" s="987"/>
      <c r="TNY46" s="987"/>
      <c r="TNZ46" s="987"/>
      <c r="TOA46" s="987"/>
      <c r="TOB46" s="987"/>
      <c r="TOC46" s="987"/>
      <c r="TOD46" s="987"/>
      <c r="TOE46" s="987"/>
      <c r="TOF46" s="987"/>
      <c r="TOG46" s="987"/>
      <c r="TOH46" s="987"/>
      <c r="TOI46" s="987"/>
      <c r="TOJ46" s="987"/>
      <c r="TOK46" s="987"/>
      <c r="TOL46" s="987"/>
      <c r="TOM46" s="987"/>
      <c r="TON46" s="987"/>
      <c r="TOO46" s="987"/>
      <c r="TOP46" s="987"/>
      <c r="TOQ46" s="987"/>
      <c r="TOR46" s="987"/>
      <c r="TOS46" s="987"/>
      <c r="TOT46" s="987"/>
      <c r="TOU46" s="987"/>
      <c r="TOV46" s="987"/>
      <c r="TOW46" s="987"/>
      <c r="TOX46" s="987"/>
      <c r="TOY46" s="987"/>
      <c r="TOZ46" s="987"/>
      <c r="TPA46" s="987"/>
      <c r="TPB46" s="987"/>
      <c r="TPC46" s="987"/>
      <c r="TPD46" s="987"/>
      <c r="TPE46" s="987"/>
      <c r="TPF46" s="987"/>
      <c r="TPG46" s="987"/>
      <c r="TPH46" s="987"/>
      <c r="TPI46" s="987"/>
      <c r="TPJ46" s="987"/>
      <c r="TPK46" s="987"/>
      <c r="TPL46" s="987"/>
      <c r="TPM46" s="987"/>
      <c r="TPN46" s="987"/>
      <c r="TPO46" s="987"/>
      <c r="TPP46" s="987"/>
      <c r="TPQ46" s="987"/>
      <c r="TPR46" s="987"/>
      <c r="TPS46" s="987"/>
      <c r="TPT46" s="987"/>
      <c r="TPU46" s="987"/>
      <c r="TPV46" s="987"/>
      <c r="TPW46" s="987"/>
      <c r="TPX46" s="987"/>
      <c r="TPY46" s="987"/>
      <c r="TPZ46" s="987"/>
      <c r="TQA46" s="987"/>
      <c r="TQB46" s="987"/>
      <c r="TQC46" s="987"/>
      <c r="TQD46" s="987"/>
      <c r="TQE46" s="987"/>
      <c r="TQF46" s="987"/>
      <c r="TQG46" s="987"/>
      <c r="TQH46" s="987"/>
      <c r="TQI46" s="987"/>
      <c r="TQJ46" s="987"/>
      <c r="TQK46" s="987"/>
      <c r="TQL46" s="987"/>
      <c r="TQM46" s="987"/>
      <c r="TQN46" s="987"/>
      <c r="TQO46" s="987"/>
      <c r="TQP46" s="987"/>
      <c r="TQQ46" s="987"/>
      <c r="TQR46" s="987"/>
      <c r="TQS46" s="987"/>
      <c r="TQT46" s="987"/>
      <c r="TQU46" s="987"/>
      <c r="TQV46" s="987"/>
      <c r="TQW46" s="987"/>
      <c r="TQX46" s="987"/>
      <c r="TQY46" s="987"/>
      <c r="TQZ46" s="987"/>
      <c r="TRA46" s="987"/>
      <c r="TRB46" s="987"/>
      <c r="TRC46" s="987"/>
      <c r="TRD46" s="987"/>
      <c r="TRE46" s="987"/>
      <c r="TRF46" s="987"/>
      <c r="TRG46" s="987"/>
      <c r="TRH46" s="987"/>
      <c r="TRI46" s="987"/>
      <c r="TRJ46" s="987"/>
      <c r="TRK46" s="987"/>
      <c r="TRL46" s="987"/>
      <c r="TRM46" s="987"/>
      <c r="TRN46" s="987"/>
      <c r="TRO46" s="987"/>
      <c r="TRP46" s="987"/>
      <c r="TRQ46" s="987"/>
      <c r="TRR46" s="987"/>
      <c r="TRS46" s="987"/>
      <c r="TRT46" s="987"/>
      <c r="TRU46" s="987"/>
      <c r="TRV46" s="987"/>
      <c r="TRW46" s="987"/>
      <c r="TRX46" s="987"/>
      <c r="TRY46" s="987"/>
      <c r="TRZ46" s="987"/>
      <c r="TSA46" s="987"/>
      <c r="TSB46" s="987"/>
      <c r="TSC46" s="987"/>
      <c r="TSD46" s="987"/>
      <c r="TSE46" s="987"/>
      <c r="TSF46" s="987"/>
      <c r="TSG46" s="987"/>
      <c r="TSH46" s="987"/>
      <c r="TSI46" s="987"/>
      <c r="TSJ46" s="987"/>
      <c r="TSK46" s="987"/>
      <c r="TSL46" s="987"/>
      <c r="TSM46" s="987"/>
      <c r="TSN46" s="987"/>
      <c r="TSO46" s="987"/>
      <c r="TSP46" s="987"/>
      <c r="TSQ46" s="987"/>
      <c r="TSR46" s="987"/>
      <c r="TSS46" s="987"/>
      <c r="TST46" s="987"/>
      <c r="TSU46" s="987"/>
      <c r="TSV46" s="987"/>
      <c r="TSW46" s="987"/>
      <c r="TSX46" s="987"/>
      <c r="TSY46" s="987"/>
      <c r="TSZ46" s="987"/>
      <c r="TTA46" s="987"/>
      <c r="TTB46" s="987"/>
      <c r="TTC46" s="987"/>
      <c r="TTD46" s="987"/>
      <c r="TTE46" s="987"/>
      <c r="TTF46" s="987"/>
      <c r="TTG46" s="987"/>
      <c r="TTH46" s="987"/>
      <c r="TTI46" s="987"/>
      <c r="TTJ46" s="987"/>
      <c r="TTK46" s="987"/>
      <c r="TTL46" s="987"/>
      <c r="TTM46" s="987"/>
      <c r="TTN46" s="987"/>
      <c r="TTO46" s="987"/>
      <c r="TTP46" s="987"/>
      <c r="TTQ46" s="987"/>
      <c r="TTR46" s="987"/>
      <c r="TTS46" s="987"/>
      <c r="TTT46" s="987"/>
      <c r="TTU46" s="987"/>
      <c r="TTV46" s="987"/>
      <c r="TTW46" s="987"/>
      <c r="TTX46" s="987"/>
      <c r="TTY46" s="987"/>
      <c r="TTZ46" s="987"/>
      <c r="TUA46" s="987"/>
      <c r="TUB46" s="987"/>
      <c r="TUC46" s="987"/>
      <c r="TUD46" s="987"/>
      <c r="TUE46" s="987"/>
      <c r="TUF46" s="987"/>
      <c r="TUG46" s="987"/>
      <c r="TUH46" s="987"/>
      <c r="TUI46" s="987"/>
      <c r="TUJ46" s="987"/>
      <c r="TUK46" s="987"/>
      <c r="TUL46" s="987"/>
      <c r="TUM46" s="987"/>
      <c r="TUN46" s="987"/>
      <c r="TUO46" s="987"/>
      <c r="TUP46" s="987"/>
      <c r="TUQ46" s="987"/>
      <c r="TUR46" s="987"/>
      <c r="TUS46" s="987"/>
      <c r="TUT46" s="987"/>
      <c r="TUU46" s="987"/>
      <c r="TUV46" s="987"/>
      <c r="TUW46" s="987"/>
      <c r="TUX46" s="987"/>
      <c r="TUY46" s="987"/>
      <c r="TUZ46" s="987"/>
      <c r="TVA46" s="987"/>
      <c r="TVB46" s="987"/>
      <c r="TVC46" s="987"/>
      <c r="TVD46" s="987"/>
      <c r="TVE46" s="987"/>
      <c r="TVF46" s="987"/>
      <c r="TVG46" s="987"/>
      <c r="TVH46" s="987"/>
      <c r="TVI46" s="987"/>
      <c r="TVJ46" s="987"/>
      <c r="TVK46" s="987"/>
      <c r="TVL46" s="987"/>
      <c r="TVM46" s="987"/>
      <c r="TVN46" s="987"/>
      <c r="TVO46" s="987"/>
      <c r="TVP46" s="987"/>
      <c r="TVQ46" s="987"/>
      <c r="TVR46" s="987"/>
      <c r="TVS46" s="987"/>
      <c r="TVT46" s="987"/>
      <c r="TVU46" s="987"/>
      <c r="TVV46" s="987"/>
      <c r="TVW46" s="987"/>
      <c r="TVX46" s="987"/>
      <c r="TVY46" s="987"/>
      <c r="TVZ46" s="987"/>
      <c r="TWA46" s="987"/>
      <c r="TWB46" s="987"/>
      <c r="TWC46" s="987"/>
      <c r="TWD46" s="987"/>
      <c r="TWE46" s="987"/>
      <c r="TWF46" s="987"/>
      <c r="TWG46" s="987"/>
      <c r="TWH46" s="987"/>
      <c r="TWI46" s="987"/>
      <c r="TWJ46" s="987"/>
      <c r="TWK46" s="987"/>
      <c r="TWL46" s="987"/>
      <c r="TWM46" s="987"/>
      <c r="TWN46" s="987"/>
      <c r="TWO46" s="987"/>
      <c r="TWP46" s="987"/>
      <c r="TWQ46" s="987"/>
      <c r="TWR46" s="987"/>
      <c r="TWS46" s="987"/>
      <c r="TWT46" s="987"/>
      <c r="TWU46" s="987"/>
      <c r="TWV46" s="987"/>
      <c r="TWW46" s="987"/>
      <c r="TWX46" s="987"/>
      <c r="TWY46" s="987"/>
      <c r="TWZ46" s="987"/>
      <c r="TXA46" s="987"/>
      <c r="TXB46" s="987"/>
      <c r="TXC46" s="987"/>
      <c r="TXD46" s="987"/>
      <c r="TXE46" s="987"/>
      <c r="TXF46" s="987"/>
      <c r="TXG46" s="987"/>
      <c r="TXH46" s="987"/>
      <c r="TXI46" s="987"/>
      <c r="TXJ46" s="987"/>
      <c r="TXK46" s="987"/>
      <c r="TXL46" s="987"/>
      <c r="TXM46" s="987"/>
      <c r="TXN46" s="987"/>
      <c r="TXO46" s="987"/>
      <c r="TXP46" s="987"/>
      <c r="TXQ46" s="987"/>
      <c r="TXR46" s="987"/>
      <c r="TXS46" s="987"/>
      <c r="TXT46" s="987"/>
      <c r="TXU46" s="987"/>
      <c r="TXV46" s="987"/>
      <c r="TXW46" s="987"/>
      <c r="TXX46" s="987"/>
      <c r="TXY46" s="987"/>
      <c r="TXZ46" s="987"/>
      <c r="TYA46" s="987"/>
      <c r="TYB46" s="987"/>
      <c r="TYC46" s="987"/>
      <c r="TYD46" s="987"/>
      <c r="TYE46" s="987"/>
      <c r="TYF46" s="987"/>
      <c r="TYG46" s="987"/>
      <c r="TYH46" s="987"/>
      <c r="TYI46" s="987"/>
      <c r="TYJ46" s="987"/>
      <c r="TYK46" s="987"/>
      <c r="TYL46" s="987"/>
      <c r="TYM46" s="987"/>
      <c r="TYN46" s="987"/>
      <c r="TYO46" s="987"/>
      <c r="TYP46" s="987"/>
      <c r="TYQ46" s="987"/>
      <c r="TYR46" s="987"/>
      <c r="TYS46" s="987"/>
      <c r="TYT46" s="987"/>
      <c r="TYU46" s="987"/>
      <c r="TYV46" s="987"/>
      <c r="TYW46" s="987"/>
      <c r="TYX46" s="987"/>
      <c r="TYY46" s="987"/>
      <c r="TYZ46" s="987"/>
      <c r="TZA46" s="987"/>
      <c r="TZB46" s="987"/>
      <c r="TZC46" s="987"/>
      <c r="TZD46" s="987"/>
      <c r="TZE46" s="987"/>
      <c r="TZF46" s="987"/>
      <c r="TZG46" s="987"/>
      <c r="TZH46" s="987"/>
      <c r="TZI46" s="987"/>
      <c r="TZJ46" s="987"/>
      <c r="TZK46" s="987"/>
      <c r="TZL46" s="987"/>
      <c r="TZM46" s="987"/>
      <c r="TZN46" s="987"/>
      <c r="TZO46" s="987"/>
      <c r="TZP46" s="987"/>
      <c r="TZQ46" s="987"/>
      <c r="TZR46" s="987"/>
      <c r="TZS46" s="987"/>
      <c r="TZT46" s="987"/>
      <c r="TZU46" s="987"/>
      <c r="TZV46" s="987"/>
      <c r="TZW46" s="987"/>
      <c r="TZX46" s="987"/>
      <c r="TZY46" s="987"/>
      <c r="TZZ46" s="987"/>
      <c r="UAA46" s="987"/>
      <c r="UAB46" s="987"/>
      <c r="UAC46" s="987"/>
      <c r="UAD46" s="987"/>
      <c r="UAE46" s="987"/>
      <c r="UAF46" s="987"/>
      <c r="UAG46" s="987"/>
      <c r="UAH46" s="987"/>
      <c r="UAI46" s="987"/>
      <c r="UAJ46" s="987"/>
      <c r="UAK46" s="987"/>
      <c r="UAL46" s="987"/>
      <c r="UAM46" s="987"/>
      <c r="UAN46" s="987"/>
      <c r="UAO46" s="987"/>
      <c r="UAP46" s="987"/>
      <c r="UAQ46" s="987"/>
      <c r="UAR46" s="987"/>
      <c r="UAS46" s="987"/>
      <c r="UAT46" s="987"/>
      <c r="UAU46" s="987"/>
      <c r="UAV46" s="987"/>
      <c r="UAW46" s="987"/>
      <c r="UAX46" s="987"/>
      <c r="UAY46" s="987"/>
      <c r="UAZ46" s="987"/>
      <c r="UBA46" s="987"/>
      <c r="UBB46" s="987"/>
      <c r="UBC46" s="987"/>
      <c r="UBD46" s="987"/>
      <c r="UBE46" s="987"/>
      <c r="UBF46" s="987"/>
      <c r="UBG46" s="987"/>
      <c r="UBH46" s="987"/>
      <c r="UBI46" s="987"/>
      <c r="UBJ46" s="987"/>
      <c r="UBK46" s="987"/>
      <c r="UBL46" s="987"/>
      <c r="UBM46" s="987"/>
      <c r="UBN46" s="987"/>
      <c r="UBO46" s="987"/>
      <c r="UBP46" s="987"/>
      <c r="UBQ46" s="987"/>
      <c r="UBR46" s="987"/>
      <c r="UBS46" s="987"/>
      <c r="UBT46" s="987"/>
      <c r="UBU46" s="987"/>
      <c r="UBV46" s="987"/>
      <c r="UBW46" s="987"/>
      <c r="UBX46" s="987"/>
      <c r="UBY46" s="987"/>
      <c r="UBZ46" s="987"/>
      <c r="UCA46" s="987"/>
      <c r="UCB46" s="987"/>
      <c r="UCC46" s="987"/>
      <c r="UCD46" s="987"/>
      <c r="UCE46" s="987"/>
      <c r="UCF46" s="987"/>
      <c r="UCG46" s="987"/>
      <c r="UCH46" s="987"/>
      <c r="UCI46" s="987"/>
      <c r="UCJ46" s="987"/>
      <c r="UCK46" s="987"/>
      <c r="UCL46" s="987"/>
      <c r="UCM46" s="987"/>
      <c r="UCN46" s="987"/>
      <c r="UCO46" s="987"/>
      <c r="UCP46" s="987"/>
      <c r="UCQ46" s="987"/>
      <c r="UCR46" s="987"/>
      <c r="UCS46" s="987"/>
      <c r="UCT46" s="987"/>
      <c r="UCU46" s="987"/>
      <c r="UCV46" s="987"/>
      <c r="UCW46" s="987"/>
      <c r="UCX46" s="987"/>
      <c r="UCY46" s="987"/>
      <c r="UCZ46" s="987"/>
      <c r="UDA46" s="987"/>
      <c r="UDB46" s="987"/>
      <c r="UDC46" s="987"/>
      <c r="UDD46" s="987"/>
      <c r="UDE46" s="987"/>
      <c r="UDF46" s="987"/>
      <c r="UDG46" s="987"/>
      <c r="UDH46" s="987"/>
      <c r="UDI46" s="987"/>
      <c r="UDJ46" s="987"/>
      <c r="UDK46" s="987"/>
      <c r="UDL46" s="987"/>
      <c r="UDM46" s="987"/>
      <c r="UDN46" s="987"/>
      <c r="UDO46" s="987"/>
      <c r="UDP46" s="987"/>
      <c r="UDQ46" s="987"/>
      <c r="UDR46" s="987"/>
      <c r="UDS46" s="987"/>
      <c r="UDT46" s="987"/>
      <c r="UDU46" s="987"/>
      <c r="UDV46" s="987"/>
      <c r="UDW46" s="987"/>
      <c r="UDX46" s="987"/>
      <c r="UDY46" s="987"/>
      <c r="UDZ46" s="987"/>
      <c r="UEA46" s="987"/>
      <c r="UEB46" s="987"/>
      <c r="UEC46" s="987"/>
      <c r="UED46" s="987"/>
      <c r="UEE46" s="987"/>
      <c r="UEF46" s="987"/>
      <c r="UEG46" s="987"/>
      <c r="UEH46" s="987"/>
      <c r="UEI46" s="987"/>
      <c r="UEJ46" s="987"/>
      <c r="UEK46" s="987"/>
      <c r="UEL46" s="987"/>
      <c r="UEM46" s="987"/>
      <c r="UEN46" s="987"/>
      <c r="UEO46" s="987"/>
      <c r="UEP46" s="987"/>
      <c r="UEQ46" s="987"/>
      <c r="UER46" s="987"/>
      <c r="UES46" s="987"/>
      <c r="UET46" s="987"/>
      <c r="UEU46" s="987"/>
      <c r="UEV46" s="987"/>
      <c r="UEW46" s="987"/>
      <c r="UEX46" s="987"/>
      <c r="UEY46" s="987"/>
      <c r="UEZ46" s="987"/>
      <c r="UFA46" s="987"/>
      <c r="UFB46" s="987"/>
      <c r="UFC46" s="987"/>
      <c r="UFD46" s="987"/>
      <c r="UFE46" s="987"/>
      <c r="UFF46" s="987"/>
      <c r="UFG46" s="987"/>
      <c r="UFH46" s="987"/>
      <c r="UFI46" s="987"/>
      <c r="UFJ46" s="987"/>
      <c r="UFK46" s="987"/>
      <c r="UFL46" s="987"/>
      <c r="UFM46" s="987"/>
      <c r="UFN46" s="987"/>
      <c r="UFO46" s="987"/>
      <c r="UFP46" s="987"/>
      <c r="UFQ46" s="987"/>
      <c r="UFR46" s="987"/>
      <c r="UFS46" s="987"/>
      <c r="UFT46" s="987"/>
      <c r="UFU46" s="987"/>
      <c r="UFV46" s="987"/>
      <c r="UFW46" s="987"/>
      <c r="UFX46" s="987"/>
      <c r="UFY46" s="987"/>
      <c r="UFZ46" s="987"/>
      <c r="UGA46" s="987"/>
      <c r="UGB46" s="987"/>
      <c r="UGC46" s="987"/>
      <c r="UGD46" s="987"/>
      <c r="UGE46" s="987"/>
      <c r="UGF46" s="987"/>
      <c r="UGG46" s="987"/>
      <c r="UGH46" s="987"/>
      <c r="UGI46" s="987"/>
      <c r="UGJ46" s="987"/>
      <c r="UGK46" s="987"/>
      <c r="UGL46" s="987"/>
      <c r="UGM46" s="987"/>
      <c r="UGN46" s="987"/>
      <c r="UGO46" s="987"/>
      <c r="UGP46" s="987"/>
      <c r="UGQ46" s="987"/>
      <c r="UGR46" s="987"/>
      <c r="UGS46" s="987"/>
      <c r="UGT46" s="987"/>
      <c r="UGU46" s="987"/>
      <c r="UGV46" s="987"/>
      <c r="UGW46" s="987"/>
      <c r="UGX46" s="987"/>
      <c r="UGY46" s="987"/>
      <c r="UGZ46" s="987"/>
      <c r="UHA46" s="987"/>
      <c r="UHB46" s="987"/>
      <c r="UHC46" s="987"/>
      <c r="UHD46" s="987"/>
      <c r="UHE46" s="987"/>
      <c r="UHF46" s="987"/>
      <c r="UHG46" s="987"/>
      <c r="UHH46" s="987"/>
      <c r="UHI46" s="987"/>
      <c r="UHJ46" s="987"/>
      <c r="UHK46" s="987"/>
      <c r="UHL46" s="987"/>
      <c r="UHM46" s="987"/>
      <c r="UHN46" s="987"/>
      <c r="UHO46" s="987"/>
      <c r="UHP46" s="987"/>
      <c r="UHQ46" s="987"/>
      <c r="UHR46" s="987"/>
      <c r="UHS46" s="987"/>
      <c r="UHT46" s="987"/>
      <c r="UHU46" s="987"/>
      <c r="UHV46" s="987"/>
      <c r="UHW46" s="987"/>
      <c r="UHX46" s="987"/>
      <c r="UHY46" s="987"/>
      <c r="UHZ46" s="987"/>
      <c r="UIA46" s="987"/>
      <c r="UIB46" s="987"/>
      <c r="UIC46" s="987"/>
      <c r="UID46" s="987"/>
      <c r="UIE46" s="987"/>
      <c r="UIF46" s="987"/>
      <c r="UIG46" s="987"/>
      <c r="UIH46" s="987"/>
      <c r="UII46" s="987"/>
      <c r="UIJ46" s="987"/>
      <c r="UIK46" s="987"/>
      <c r="UIL46" s="987"/>
      <c r="UIM46" s="987"/>
      <c r="UIN46" s="987"/>
      <c r="UIO46" s="987"/>
      <c r="UIP46" s="987"/>
      <c r="UIQ46" s="987"/>
      <c r="UIR46" s="987"/>
      <c r="UIS46" s="987"/>
      <c r="UIT46" s="987"/>
      <c r="UIU46" s="987"/>
      <c r="UIV46" s="987"/>
      <c r="UIW46" s="987"/>
      <c r="UIX46" s="987"/>
      <c r="UIY46" s="987"/>
      <c r="UIZ46" s="987"/>
      <c r="UJA46" s="987"/>
      <c r="UJB46" s="987"/>
      <c r="UJC46" s="987"/>
      <c r="UJD46" s="987"/>
      <c r="UJE46" s="987"/>
      <c r="UJF46" s="987"/>
      <c r="UJG46" s="987"/>
      <c r="UJH46" s="987"/>
      <c r="UJI46" s="987"/>
      <c r="UJJ46" s="987"/>
      <c r="UJK46" s="987"/>
      <c r="UJL46" s="987"/>
      <c r="UJM46" s="987"/>
      <c r="UJN46" s="987"/>
      <c r="UJO46" s="987"/>
      <c r="UJP46" s="987"/>
      <c r="UJQ46" s="987"/>
      <c r="UJR46" s="987"/>
      <c r="UJS46" s="987"/>
      <c r="UJT46" s="987"/>
      <c r="UJU46" s="987"/>
      <c r="UJV46" s="987"/>
      <c r="UJW46" s="987"/>
      <c r="UJX46" s="987"/>
      <c r="UJY46" s="987"/>
      <c r="UJZ46" s="987"/>
      <c r="UKA46" s="987"/>
      <c r="UKB46" s="987"/>
      <c r="UKC46" s="987"/>
      <c r="UKD46" s="987"/>
      <c r="UKE46" s="987"/>
      <c r="UKF46" s="987"/>
      <c r="UKG46" s="987"/>
      <c r="UKH46" s="987"/>
      <c r="UKI46" s="987"/>
      <c r="UKJ46" s="987"/>
      <c r="UKK46" s="987"/>
      <c r="UKL46" s="987"/>
      <c r="UKM46" s="987"/>
      <c r="UKN46" s="987"/>
      <c r="UKO46" s="987"/>
      <c r="UKP46" s="987"/>
      <c r="UKQ46" s="987"/>
      <c r="UKR46" s="987"/>
      <c r="UKS46" s="987"/>
      <c r="UKT46" s="987"/>
      <c r="UKU46" s="987"/>
      <c r="UKV46" s="987"/>
      <c r="UKW46" s="987"/>
      <c r="UKX46" s="987"/>
      <c r="UKY46" s="987"/>
      <c r="UKZ46" s="987"/>
      <c r="ULA46" s="987"/>
      <c r="ULB46" s="987"/>
      <c r="ULC46" s="987"/>
      <c r="ULD46" s="987"/>
      <c r="ULE46" s="987"/>
      <c r="ULF46" s="987"/>
      <c r="ULG46" s="987"/>
      <c r="ULH46" s="987"/>
      <c r="ULI46" s="987"/>
      <c r="ULJ46" s="987"/>
      <c r="ULK46" s="987"/>
      <c r="ULL46" s="987"/>
      <c r="ULM46" s="987"/>
      <c r="ULN46" s="987"/>
      <c r="ULO46" s="987"/>
      <c r="ULP46" s="987"/>
      <c r="ULQ46" s="987"/>
      <c r="ULR46" s="987"/>
      <c r="ULS46" s="987"/>
      <c r="ULT46" s="987"/>
      <c r="ULU46" s="987"/>
      <c r="ULV46" s="987"/>
      <c r="ULW46" s="987"/>
      <c r="ULX46" s="987"/>
      <c r="ULY46" s="987"/>
      <c r="ULZ46" s="987"/>
      <c r="UMA46" s="987"/>
      <c r="UMB46" s="987"/>
      <c r="UMC46" s="987"/>
      <c r="UMD46" s="987"/>
      <c r="UME46" s="987"/>
      <c r="UMF46" s="987"/>
      <c r="UMG46" s="987"/>
      <c r="UMH46" s="987"/>
      <c r="UMI46" s="987"/>
      <c r="UMJ46" s="987"/>
      <c r="UMK46" s="987"/>
      <c r="UML46" s="987"/>
      <c r="UMM46" s="987"/>
      <c r="UMN46" s="987"/>
      <c r="UMO46" s="987"/>
      <c r="UMP46" s="987"/>
      <c r="UMQ46" s="987"/>
      <c r="UMR46" s="987"/>
      <c r="UMS46" s="987"/>
      <c r="UMT46" s="987"/>
      <c r="UMU46" s="987"/>
      <c r="UMV46" s="987"/>
      <c r="UMW46" s="987"/>
      <c r="UMX46" s="987"/>
      <c r="UMY46" s="987"/>
      <c r="UMZ46" s="987"/>
      <c r="UNA46" s="987"/>
      <c r="UNB46" s="987"/>
      <c r="UNC46" s="987"/>
      <c r="UND46" s="987"/>
      <c r="UNE46" s="987"/>
      <c r="UNF46" s="987"/>
      <c r="UNG46" s="987"/>
      <c r="UNH46" s="987"/>
      <c r="UNI46" s="987"/>
      <c r="UNJ46" s="987"/>
      <c r="UNK46" s="987"/>
      <c r="UNL46" s="987"/>
      <c r="UNM46" s="987"/>
      <c r="UNN46" s="987"/>
      <c r="UNO46" s="987"/>
      <c r="UNP46" s="987"/>
      <c r="UNQ46" s="987"/>
      <c r="UNR46" s="987"/>
      <c r="UNS46" s="987"/>
      <c r="UNT46" s="987"/>
      <c r="UNU46" s="987"/>
      <c r="UNV46" s="987"/>
      <c r="UNW46" s="987"/>
      <c r="UNX46" s="987"/>
      <c r="UNY46" s="987"/>
      <c r="UNZ46" s="987"/>
      <c r="UOA46" s="987"/>
      <c r="UOB46" s="987"/>
      <c r="UOC46" s="987"/>
      <c r="UOD46" s="987"/>
      <c r="UOE46" s="987"/>
      <c r="UOF46" s="987"/>
      <c r="UOG46" s="987"/>
      <c r="UOH46" s="987"/>
      <c r="UOI46" s="987"/>
      <c r="UOJ46" s="987"/>
      <c r="UOK46" s="987"/>
      <c r="UOL46" s="987"/>
      <c r="UOM46" s="987"/>
      <c r="UON46" s="987"/>
      <c r="UOO46" s="987"/>
      <c r="UOP46" s="987"/>
      <c r="UOQ46" s="987"/>
      <c r="UOR46" s="987"/>
      <c r="UOS46" s="987"/>
      <c r="UOT46" s="987"/>
      <c r="UOU46" s="987"/>
      <c r="UOV46" s="987"/>
      <c r="UOW46" s="987"/>
      <c r="UOX46" s="987"/>
      <c r="UOY46" s="987"/>
      <c r="UOZ46" s="987"/>
      <c r="UPA46" s="987"/>
      <c r="UPB46" s="987"/>
      <c r="UPC46" s="987"/>
      <c r="UPD46" s="987"/>
      <c r="UPE46" s="987"/>
      <c r="UPF46" s="987"/>
      <c r="UPG46" s="987"/>
      <c r="UPH46" s="987"/>
      <c r="UPI46" s="987"/>
      <c r="UPJ46" s="987"/>
      <c r="UPK46" s="987"/>
      <c r="UPL46" s="987"/>
      <c r="UPM46" s="987"/>
      <c r="UPN46" s="987"/>
      <c r="UPO46" s="987"/>
      <c r="UPP46" s="987"/>
      <c r="UPQ46" s="987"/>
      <c r="UPR46" s="987"/>
      <c r="UPS46" s="987"/>
      <c r="UPT46" s="987"/>
      <c r="UPU46" s="987"/>
      <c r="UPV46" s="987"/>
      <c r="UPW46" s="987"/>
      <c r="UPX46" s="987"/>
      <c r="UPY46" s="987"/>
      <c r="UPZ46" s="987"/>
      <c r="UQA46" s="987"/>
      <c r="UQB46" s="987"/>
      <c r="UQC46" s="987"/>
      <c r="UQD46" s="987"/>
      <c r="UQE46" s="987"/>
      <c r="UQF46" s="987"/>
      <c r="UQG46" s="987"/>
      <c r="UQH46" s="987"/>
      <c r="UQI46" s="987"/>
      <c r="UQJ46" s="987"/>
      <c r="UQK46" s="987"/>
      <c r="UQL46" s="987"/>
      <c r="UQM46" s="987"/>
      <c r="UQN46" s="987"/>
      <c r="UQO46" s="987"/>
      <c r="UQP46" s="987"/>
      <c r="UQQ46" s="987"/>
      <c r="UQR46" s="987"/>
      <c r="UQS46" s="987"/>
      <c r="UQT46" s="987"/>
      <c r="UQU46" s="987"/>
      <c r="UQV46" s="987"/>
      <c r="UQW46" s="987"/>
      <c r="UQX46" s="987"/>
      <c r="UQY46" s="987"/>
      <c r="UQZ46" s="987"/>
      <c r="URA46" s="987"/>
      <c r="URB46" s="987"/>
      <c r="URC46" s="987"/>
      <c r="URD46" s="987"/>
      <c r="URE46" s="987"/>
      <c r="URF46" s="987"/>
      <c r="URG46" s="987"/>
      <c r="URH46" s="987"/>
      <c r="URI46" s="987"/>
      <c r="URJ46" s="987"/>
      <c r="URK46" s="987"/>
      <c r="URL46" s="987"/>
      <c r="URM46" s="987"/>
      <c r="URN46" s="987"/>
      <c r="URO46" s="987"/>
      <c r="URP46" s="987"/>
      <c r="URQ46" s="987"/>
      <c r="URR46" s="987"/>
      <c r="URS46" s="987"/>
      <c r="URT46" s="987"/>
      <c r="URU46" s="987"/>
      <c r="URV46" s="987"/>
      <c r="URW46" s="987"/>
      <c r="URX46" s="987"/>
      <c r="URY46" s="987"/>
      <c r="URZ46" s="987"/>
      <c r="USA46" s="987"/>
      <c r="USB46" s="987"/>
      <c r="USC46" s="987"/>
      <c r="USD46" s="987"/>
      <c r="USE46" s="987"/>
      <c r="USF46" s="987"/>
      <c r="USG46" s="987"/>
      <c r="USH46" s="987"/>
      <c r="USI46" s="987"/>
      <c r="USJ46" s="987"/>
      <c r="USK46" s="987"/>
      <c r="USL46" s="987"/>
      <c r="USM46" s="987"/>
      <c r="USN46" s="987"/>
      <c r="USO46" s="987"/>
      <c r="USP46" s="987"/>
      <c r="USQ46" s="987"/>
      <c r="USR46" s="987"/>
      <c r="USS46" s="987"/>
      <c r="UST46" s="987"/>
      <c r="USU46" s="987"/>
      <c r="USV46" s="987"/>
      <c r="USW46" s="987"/>
      <c r="USX46" s="987"/>
      <c r="USY46" s="987"/>
      <c r="USZ46" s="987"/>
      <c r="UTA46" s="987"/>
      <c r="UTB46" s="987"/>
      <c r="UTC46" s="987"/>
      <c r="UTD46" s="987"/>
      <c r="UTE46" s="987"/>
      <c r="UTF46" s="987"/>
      <c r="UTG46" s="987"/>
      <c r="UTH46" s="987"/>
      <c r="UTI46" s="987"/>
      <c r="UTJ46" s="987"/>
      <c r="UTK46" s="987"/>
      <c r="UTL46" s="987"/>
      <c r="UTM46" s="987"/>
      <c r="UTN46" s="987"/>
      <c r="UTO46" s="987"/>
      <c r="UTP46" s="987"/>
      <c r="UTQ46" s="987"/>
      <c r="UTR46" s="987"/>
      <c r="UTS46" s="987"/>
      <c r="UTT46" s="987"/>
      <c r="UTU46" s="987"/>
      <c r="UTV46" s="987"/>
      <c r="UTW46" s="987"/>
      <c r="UTX46" s="987"/>
      <c r="UTY46" s="987"/>
      <c r="UTZ46" s="987"/>
      <c r="UUA46" s="987"/>
      <c r="UUB46" s="987"/>
      <c r="UUC46" s="987"/>
      <c r="UUD46" s="987"/>
      <c r="UUE46" s="987"/>
      <c r="UUF46" s="987"/>
      <c r="UUG46" s="987"/>
      <c r="UUH46" s="987"/>
      <c r="UUI46" s="987"/>
      <c r="UUJ46" s="987"/>
      <c r="UUK46" s="987"/>
      <c r="UUL46" s="987"/>
      <c r="UUM46" s="987"/>
      <c r="UUN46" s="987"/>
      <c r="UUO46" s="987"/>
      <c r="UUP46" s="987"/>
      <c r="UUQ46" s="987"/>
      <c r="UUR46" s="987"/>
      <c r="UUS46" s="987"/>
      <c r="UUT46" s="987"/>
      <c r="UUU46" s="987"/>
      <c r="UUV46" s="987"/>
      <c r="UUW46" s="987"/>
      <c r="UUX46" s="987"/>
      <c r="UUY46" s="987"/>
      <c r="UUZ46" s="987"/>
      <c r="UVA46" s="987"/>
      <c r="UVB46" s="987"/>
      <c r="UVC46" s="987"/>
      <c r="UVD46" s="987"/>
      <c r="UVE46" s="987"/>
      <c r="UVF46" s="987"/>
      <c r="UVG46" s="987"/>
      <c r="UVH46" s="987"/>
      <c r="UVI46" s="987"/>
      <c r="UVJ46" s="987"/>
      <c r="UVK46" s="987"/>
      <c r="UVL46" s="987"/>
      <c r="UVM46" s="987"/>
      <c r="UVN46" s="987"/>
      <c r="UVO46" s="987"/>
      <c r="UVP46" s="987"/>
      <c r="UVQ46" s="987"/>
      <c r="UVR46" s="987"/>
      <c r="UVS46" s="987"/>
      <c r="UVT46" s="987"/>
      <c r="UVU46" s="987"/>
      <c r="UVV46" s="987"/>
      <c r="UVW46" s="987"/>
      <c r="UVX46" s="987"/>
      <c r="UVY46" s="987"/>
      <c r="UVZ46" s="987"/>
      <c r="UWA46" s="987"/>
      <c r="UWB46" s="987"/>
      <c r="UWC46" s="987"/>
      <c r="UWD46" s="987"/>
      <c r="UWE46" s="987"/>
      <c r="UWF46" s="987"/>
      <c r="UWG46" s="987"/>
      <c r="UWH46" s="987"/>
      <c r="UWI46" s="987"/>
      <c r="UWJ46" s="987"/>
      <c r="UWK46" s="987"/>
      <c r="UWL46" s="987"/>
      <c r="UWM46" s="987"/>
      <c r="UWN46" s="987"/>
      <c r="UWO46" s="987"/>
      <c r="UWP46" s="987"/>
      <c r="UWQ46" s="987"/>
      <c r="UWR46" s="987"/>
      <c r="UWS46" s="987"/>
      <c r="UWT46" s="987"/>
      <c r="UWU46" s="987"/>
      <c r="UWV46" s="987"/>
      <c r="UWW46" s="987"/>
      <c r="UWX46" s="987"/>
      <c r="UWY46" s="987"/>
      <c r="UWZ46" s="987"/>
      <c r="UXA46" s="987"/>
      <c r="UXB46" s="987"/>
      <c r="UXC46" s="987"/>
      <c r="UXD46" s="987"/>
      <c r="UXE46" s="987"/>
      <c r="UXF46" s="987"/>
      <c r="UXG46" s="987"/>
      <c r="UXH46" s="987"/>
      <c r="UXI46" s="987"/>
      <c r="UXJ46" s="987"/>
      <c r="UXK46" s="987"/>
      <c r="UXL46" s="987"/>
      <c r="UXM46" s="987"/>
      <c r="UXN46" s="987"/>
      <c r="UXO46" s="987"/>
      <c r="UXP46" s="987"/>
      <c r="UXQ46" s="987"/>
      <c r="UXR46" s="987"/>
      <c r="UXS46" s="987"/>
      <c r="UXT46" s="987"/>
      <c r="UXU46" s="987"/>
      <c r="UXV46" s="987"/>
      <c r="UXW46" s="987"/>
      <c r="UXX46" s="987"/>
      <c r="UXY46" s="987"/>
      <c r="UXZ46" s="987"/>
      <c r="UYA46" s="987"/>
      <c r="UYB46" s="987"/>
      <c r="UYC46" s="987"/>
      <c r="UYD46" s="987"/>
      <c r="UYE46" s="987"/>
      <c r="UYF46" s="987"/>
      <c r="UYG46" s="987"/>
      <c r="UYH46" s="987"/>
      <c r="UYI46" s="987"/>
      <c r="UYJ46" s="987"/>
      <c r="UYK46" s="987"/>
      <c r="UYL46" s="987"/>
      <c r="UYM46" s="987"/>
      <c r="UYN46" s="987"/>
      <c r="UYO46" s="987"/>
      <c r="UYP46" s="987"/>
      <c r="UYQ46" s="987"/>
      <c r="UYR46" s="987"/>
      <c r="UYS46" s="987"/>
      <c r="UYT46" s="987"/>
      <c r="UYU46" s="987"/>
      <c r="UYV46" s="987"/>
      <c r="UYW46" s="987"/>
      <c r="UYX46" s="987"/>
      <c r="UYY46" s="987"/>
      <c r="UYZ46" s="987"/>
      <c r="UZA46" s="987"/>
      <c r="UZB46" s="987"/>
      <c r="UZC46" s="987"/>
      <c r="UZD46" s="987"/>
      <c r="UZE46" s="987"/>
      <c r="UZF46" s="987"/>
      <c r="UZG46" s="987"/>
      <c r="UZH46" s="987"/>
      <c r="UZI46" s="987"/>
      <c r="UZJ46" s="987"/>
      <c r="UZK46" s="987"/>
      <c r="UZL46" s="987"/>
      <c r="UZM46" s="987"/>
      <c r="UZN46" s="987"/>
      <c r="UZO46" s="987"/>
      <c r="UZP46" s="987"/>
      <c r="UZQ46" s="987"/>
      <c r="UZR46" s="987"/>
      <c r="UZS46" s="987"/>
      <c r="UZT46" s="987"/>
      <c r="UZU46" s="987"/>
      <c r="UZV46" s="987"/>
      <c r="UZW46" s="987"/>
      <c r="UZX46" s="987"/>
      <c r="UZY46" s="987"/>
      <c r="UZZ46" s="987"/>
      <c r="VAA46" s="987"/>
      <c r="VAB46" s="987"/>
      <c r="VAC46" s="987"/>
      <c r="VAD46" s="987"/>
      <c r="VAE46" s="987"/>
      <c r="VAF46" s="987"/>
      <c r="VAG46" s="987"/>
      <c r="VAH46" s="987"/>
      <c r="VAI46" s="987"/>
      <c r="VAJ46" s="987"/>
      <c r="VAK46" s="987"/>
      <c r="VAL46" s="987"/>
      <c r="VAM46" s="987"/>
      <c r="VAN46" s="987"/>
      <c r="VAO46" s="987"/>
      <c r="VAP46" s="987"/>
      <c r="VAQ46" s="987"/>
      <c r="VAR46" s="987"/>
      <c r="VAS46" s="987"/>
      <c r="VAT46" s="987"/>
      <c r="VAU46" s="987"/>
      <c r="VAV46" s="987"/>
      <c r="VAW46" s="987"/>
      <c r="VAX46" s="987"/>
      <c r="VAY46" s="987"/>
      <c r="VAZ46" s="987"/>
      <c r="VBA46" s="987"/>
      <c r="VBB46" s="987"/>
      <c r="VBC46" s="987"/>
      <c r="VBD46" s="987"/>
      <c r="VBE46" s="987"/>
      <c r="VBF46" s="987"/>
      <c r="VBG46" s="987"/>
      <c r="VBH46" s="987"/>
      <c r="VBI46" s="987"/>
      <c r="VBJ46" s="987"/>
      <c r="VBK46" s="987"/>
      <c r="VBL46" s="987"/>
      <c r="VBM46" s="987"/>
      <c r="VBN46" s="987"/>
      <c r="VBO46" s="987"/>
      <c r="VBP46" s="987"/>
      <c r="VBQ46" s="987"/>
      <c r="VBR46" s="987"/>
      <c r="VBS46" s="987"/>
      <c r="VBT46" s="987"/>
      <c r="VBU46" s="987"/>
      <c r="VBV46" s="987"/>
      <c r="VBW46" s="987"/>
      <c r="VBX46" s="987"/>
      <c r="VBY46" s="987"/>
      <c r="VBZ46" s="987"/>
      <c r="VCA46" s="987"/>
      <c r="VCB46" s="987"/>
      <c r="VCC46" s="987"/>
      <c r="VCD46" s="987"/>
      <c r="VCE46" s="987"/>
      <c r="VCF46" s="987"/>
      <c r="VCG46" s="987"/>
      <c r="VCH46" s="987"/>
      <c r="VCI46" s="987"/>
      <c r="VCJ46" s="987"/>
      <c r="VCK46" s="987"/>
      <c r="VCL46" s="987"/>
      <c r="VCM46" s="987"/>
      <c r="VCN46" s="987"/>
      <c r="VCO46" s="987"/>
      <c r="VCP46" s="987"/>
      <c r="VCQ46" s="987"/>
      <c r="VCR46" s="987"/>
      <c r="VCS46" s="987"/>
      <c r="VCT46" s="987"/>
      <c r="VCU46" s="987"/>
      <c r="VCV46" s="987"/>
      <c r="VCW46" s="987"/>
      <c r="VCX46" s="987"/>
      <c r="VCY46" s="987"/>
      <c r="VCZ46" s="987"/>
      <c r="VDA46" s="987"/>
      <c r="VDB46" s="987"/>
      <c r="VDC46" s="987"/>
      <c r="VDD46" s="987"/>
      <c r="VDE46" s="987"/>
      <c r="VDF46" s="987"/>
      <c r="VDG46" s="987"/>
      <c r="VDH46" s="987"/>
      <c r="VDI46" s="987"/>
      <c r="VDJ46" s="987"/>
      <c r="VDK46" s="987"/>
      <c r="VDL46" s="987"/>
      <c r="VDM46" s="987"/>
      <c r="VDN46" s="987"/>
      <c r="VDO46" s="987"/>
      <c r="VDP46" s="987"/>
      <c r="VDQ46" s="987"/>
      <c r="VDR46" s="987"/>
      <c r="VDS46" s="987"/>
      <c r="VDT46" s="987"/>
      <c r="VDU46" s="987"/>
      <c r="VDV46" s="987"/>
      <c r="VDW46" s="987"/>
      <c r="VDX46" s="987"/>
      <c r="VDY46" s="987"/>
      <c r="VDZ46" s="987"/>
      <c r="VEA46" s="987"/>
      <c r="VEB46" s="987"/>
      <c r="VEC46" s="987"/>
      <c r="VED46" s="987"/>
      <c r="VEE46" s="987"/>
      <c r="VEF46" s="987"/>
      <c r="VEG46" s="987"/>
      <c r="VEH46" s="987"/>
      <c r="VEI46" s="987"/>
      <c r="VEJ46" s="987"/>
      <c r="VEK46" s="987"/>
      <c r="VEL46" s="987"/>
      <c r="VEM46" s="987"/>
      <c r="VEN46" s="987"/>
      <c r="VEO46" s="987"/>
      <c r="VEP46" s="987"/>
      <c r="VEQ46" s="987"/>
      <c r="VER46" s="987"/>
      <c r="VES46" s="987"/>
      <c r="VET46" s="987"/>
      <c r="VEU46" s="987"/>
      <c r="VEV46" s="987"/>
      <c r="VEW46" s="987"/>
      <c r="VEX46" s="987"/>
      <c r="VEY46" s="987"/>
      <c r="VEZ46" s="987"/>
      <c r="VFA46" s="987"/>
      <c r="VFB46" s="987"/>
      <c r="VFC46" s="987"/>
      <c r="VFD46" s="987"/>
      <c r="VFE46" s="987"/>
      <c r="VFF46" s="987"/>
      <c r="VFG46" s="987"/>
      <c r="VFH46" s="987"/>
      <c r="VFI46" s="987"/>
      <c r="VFJ46" s="987"/>
      <c r="VFK46" s="987"/>
      <c r="VFL46" s="987"/>
      <c r="VFM46" s="987"/>
      <c r="VFN46" s="987"/>
      <c r="VFO46" s="987"/>
      <c r="VFP46" s="987"/>
      <c r="VFQ46" s="987"/>
      <c r="VFR46" s="987"/>
      <c r="VFS46" s="987"/>
      <c r="VFT46" s="987"/>
      <c r="VFU46" s="987"/>
      <c r="VFV46" s="987"/>
      <c r="VFW46" s="987"/>
      <c r="VFX46" s="987"/>
      <c r="VFY46" s="987"/>
      <c r="VFZ46" s="987"/>
      <c r="VGA46" s="987"/>
      <c r="VGB46" s="987"/>
      <c r="VGC46" s="987"/>
      <c r="VGD46" s="987"/>
      <c r="VGE46" s="987"/>
      <c r="VGF46" s="987"/>
      <c r="VGG46" s="987"/>
      <c r="VGH46" s="987"/>
      <c r="VGI46" s="987"/>
      <c r="VGJ46" s="987"/>
      <c r="VGK46" s="987"/>
      <c r="VGL46" s="987"/>
      <c r="VGM46" s="987"/>
      <c r="VGN46" s="987"/>
      <c r="VGO46" s="987"/>
      <c r="VGP46" s="987"/>
      <c r="VGQ46" s="987"/>
      <c r="VGR46" s="987"/>
      <c r="VGS46" s="987"/>
      <c r="VGT46" s="987"/>
      <c r="VGU46" s="987"/>
      <c r="VGV46" s="987"/>
      <c r="VGW46" s="987"/>
      <c r="VGX46" s="987"/>
      <c r="VGY46" s="987"/>
      <c r="VGZ46" s="987"/>
      <c r="VHA46" s="987"/>
      <c r="VHB46" s="987"/>
      <c r="VHC46" s="987"/>
      <c r="VHD46" s="987"/>
      <c r="VHE46" s="987"/>
      <c r="VHF46" s="987"/>
      <c r="VHG46" s="987"/>
      <c r="VHH46" s="987"/>
      <c r="VHI46" s="987"/>
      <c r="VHJ46" s="987"/>
      <c r="VHK46" s="987"/>
      <c r="VHL46" s="987"/>
      <c r="VHM46" s="987"/>
      <c r="VHN46" s="987"/>
      <c r="VHO46" s="987"/>
      <c r="VHP46" s="987"/>
      <c r="VHQ46" s="987"/>
      <c r="VHR46" s="987"/>
      <c r="VHS46" s="987"/>
      <c r="VHT46" s="987"/>
      <c r="VHU46" s="987"/>
      <c r="VHV46" s="987"/>
      <c r="VHW46" s="987"/>
      <c r="VHX46" s="987"/>
      <c r="VHY46" s="987"/>
      <c r="VHZ46" s="987"/>
      <c r="VIA46" s="987"/>
      <c r="VIB46" s="987"/>
      <c r="VIC46" s="987"/>
      <c r="VID46" s="987"/>
      <c r="VIE46" s="987"/>
      <c r="VIF46" s="987"/>
      <c r="VIG46" s="987"/>
      <c r="VIH46" s="987"/>
      <c r="VII46" s="987"/>
      <c r="VIJ46" s="987"/>
      <c r="VIK46" s="987"/>
      <c r="VIL46" s="987"/>
      <c r="VIM46" s="987"/>
      <c r="VIN46" s="987"/>
      <c r="VIO46" s="987"/>
      <c r="VIP46" s="987"/>
      <c r="VIQ46" s="987"/>
      <c r="VIR46" s="987"/>
      <c r="VIS46" s="987"/>
      <c r="VIT46" s="987"/>
      <c r="VIU46" s="987"/>
      <c r="VIV46" s="987"/>
      <c r="VIW46" s="987"/>
      <c r="VIX46" s="987"/>
      <c r="VIY46" s="987"/>
      <c r="VIZ46" s="987"/>
      <c r="VJA46" s="987"/>
      <c r="VJB46" s="987"/>
      <c r="VJC46" s="987"/>
      <c r="VJD46" s="987"/>
      <c r="VJE46" s="987"/>
      <c r="VJF46" s="987"/>
      <c r="VJG46" s="987"/>
      <c r="VJH46" s="987"/>
      <c r="VJI46" s="987"/>
      <c r="VJJ46" s="987"/>
      <c r="VJK46" s="987"/>
      <c r="VJL46" s="987"/>
      <c r="VJM46" s="987"/>
      <c r="VJN46" s="987"/>
      <c r="VJO46" s="987"/>
      <c r="VJP46" s="987"/>
      <c r="VJQ46" s="987"/>
      <c r="VJR46" s="987"/>
      <c r="VJS46" s="987"/>
      <c r="VJT46" s="987"/>
      <c r="VJU46" s="987"/>
      <c r="VJV46" s="987"/>
      <c r="VJW46" s="987"/>
      <c r="VJX46" s="987"/>
      <c r="VJY46" s="987"/>
      <c r="VJZ46" s="987"/>
      <c r="VKA46" s="987"/>
      <c r="VKB46" s="987"/>
      <c r="VKC46" s="987"/>
      <c r="VKD46" s="987"/>
      <c r="VKE46" s="987"/>
      <c r="VKF46" s="987"/>
      <c r="VKG46" s="987"/>
      <c r="VKH46" s="987"/>
      <c r="VKI46" s="987"/>
      <c r="VKJ46" s="987"/>
      <c r="VKK46" s="987"/>
      <c r="VKL46" s="987"/>
      <c r="VKM46" s="987"/>
      <c r="VKN46" s="987"/>
      <c r="VKO46" s="987"/>
      <c r="VKP46" s="987"/>
      <c r="VKQ46" s="987"/>
      <c r="VKR46" s="987"/>
      <c r="VKS46" s="987"/>
      <c r="VKT46" s="987"/>
      <c r="VKU46" s="987"/>
      <c r="VKV46" s="987"/>
      <c r="VKW46" s="987"/>
      <c r="VKX46" s="987"/>
      <c r="VKY46" s="987"/>
      <c r="VKZ46" s="987"/>
      <c r="VLA46" s="987"/>
      <c r="VLB46" s="987"/>
      <c r="VLC46" s="987"/>
      <c r="VLD46" s="987"/>
      <c r="VLE46" s="987"/>
      <c r="VLF46" s="987"/>
      <c r="VLG46" s="987"/>
      <c r="VLH46" s="987"/>
      <c r="VLI46" s="987"/>
      <c r="VLJ46" s="987"/>
      <c r="VLK46" s="987"/>
      <c r="VLL46" s="987"/>
      <c r="VLM46" s="987"/>
      <c r="VLN46" s="987"/>
      <c r="VLO46" s="987"/>
      <c r="VLP46" s="987"/>
      <c r="VLQ46" s="987"/>
      <c r="VLR46" s="987"/>
      <c r="VLS46" s="987"/>
      <c r="VLT46" s="987"/>
      <c r="VLU46" s="987"/>
      <c r="VLV46" s="987"/>
      <c r="VLW46" s="987"/>
      <c r="VLX46" s="987"/>
      <c r="VLY46" s="987"/>
      <c r="VLZ46" s="987"/>
      <c r="VMA46" s="987"/>
      <c r="VMB46" s="987"/>
      <c r="VMC46" s="987"/>
      <c r="VMD46" s="987"/>
      <c r="VME46" s="987"/>
      <c r="VMF46" s="987"/>
      <c r="VMG46" s="987"/>
      <c r="VMH46" s="987"/>
      <c r="VMI46" s="987"/>
      <c r="VMJ46" s="987"/>
      <c r="VMK46" s="987"/>
      <c r="VML46" s="987"/>
      <c r="VMM46" s="987"/>
      <c r="VMN46" s="987"/>
      <c r="VMO46" s="987"/>
      <c r="VMP46" s="987"/>
      <c r="VMQ46" s="987"/>
      <c r="VMR46" s="987"/>
      <c r="VMS46" s="987"/>
      <c r="VMT46" s="987"/>
      <c r="VMU46" s="987"/>
      <c r="VMV46" s="987"/>
      <c r="VMW46" s="987"/>
      <c r="VMX46" s="987"/>
      <c r="VMY46" s="987"/>
      <c r="VMZ46" s="987"/>
      <c r="VNA46" s="987"/>
      <c r="VNB46" s="987"/>
      <c r="VNC46" s="987"/>
      <c r="VND46" s="987"/>
      <c r="VNE46" s="987"/>
      <c r="VNF46" s="987"/>
      <c r="VNG46" s="987"/>
      <c r="VNH46" s="987"/>
      <c r="VNI46" s="987"/>
      <c r="VNJ46" s="987"/>
      <c r="VNK46" s="987"/>
      <c r="VNL46" s="987"/>
      <c r="VNM46" s="987"/>
      <c r="VNN46" s="987"/>
      <c r="VNO46" s="987"/>
      <c r="VNP46" s="987"/>
      <c r="VNQ46" s="987"/>
      <c r="VNR46" s="987"/>
      <c r="VNS46" s="987"/>
      <c r="VNT46" s="987"/>
      <c r="VNU46" s="987"/>
      <c r="VNV46" s="987"/>
      <c r="VNW46" s="987"/>
      <c r="VNX46" s="987"/>
      <c r="VNY46" s="987"/>
      <c r="VNZ46" s="987"/>
      <c r="VOA46" s="987"/>
      <c r="VOB46" s="987"/>
      <c r="VOC46" s="987"/>
      <c r="VOD46" s="987"/>
      <c r="VOE46" s="987"/>
      <c r="VOF46" s="987"/>
      <c r="VOG46" s="987"/>
      <c r="VOH46" s="987"/>
      <c r="VOI46" s="987"/>
      <c r="VOJ46" s="987"/>
      <c r="VOK46" s="987"/>
      <c r="VOL46" s="987"/>
      <c r="VOM46" s="987"/>
      <c r="VON46" s="987"/>
      <c r="VOO46" s="987"/>
      <c r="VOP46" s="987"/>
      <c r="VOQ46" s="987"/>
      <c r="VOR46" s="987"/>
      <c r="VOS46" s="987"/>
      <c r="VOT46" s="987"/>
      <c r="VOU46" s="987"/>
      <c r="VOV46" s="987"/>
      <c r="VOW46" s="987"/>
      <c r="VOX46" s="987"/>
      <c r="VOY46" s="987"/>
      <c r="VOZ46" s="987"/>
      <c r="VPA46" s="987"/>
      <c r="VPB46" s="987"/>
      <c r="VPC46" s="987"/>
      <c r="VPD46" s="987"/>
      <c r="VPE46" s="987"/>
      <c r="VPF46" s="987"/>
      <c r="VPG46" s="987"/>
      <c r="VPH46" s="987"/>
      <c r="VPI46" s="987"/>
      <c r="VPJ46" s="987"/>
      <c r="VPK46" s="987"/>
      <c r="VPL46" s="987"/>
      <c r="VPM46" s="987"/>
      <c r="VPN46" s="987"/>
      <c r="VPO46" s="987"/>
      <c r="VPP46" s="987"/>
      <c r="VPQ46" s="987"/>
      <c r="VPR46" s="987"/>
      <c r="VPS46" s="987"/>
      <c r="VPT46" s="987"/>
      <c r="VPU46" s="987"/>
      <c r="VPV46" s="987"/>
      <c r="VPW46" s="987"/>
      <c r="VPX46" s="987"/>
      <c r="VPY46" s="987"/>
      <c r="VPZ46" s="987"/>
      <c r="VQA46" s="987"/>
      <c r="VQB46" s="987"/>
      <c r="VQC46" s="987"/>
      <c r="VQD46" s="987"/>
      <c r="VQE46" s="987"/>
      <c r="VQF46" s="987"/>
      <c r="VQG46" s="987"/>
      <c r="VQH46" s="987"/>
      <c r="VQI46" s="987"/>
      <c r="VQJ46" s="987"/>
      <c r="VQK46" s="987"/>
      <c r="VQL46" s="987"/>
      <c r="VQM46" s="987"/>
      <c r="VQN46" s="987"/>
      <c r="VQO46" s="987"/>
      <c r="VQP46" s="987"/>
      <c r="VQQ46" s="987"/>
      <c r="VQR46" s="987"/>
      <c r="VQS46" s="987"/>
      <c r="VQT46" s="987"/>
      <c r="VQU46" s="987"/>
      <c r="VQV46" s="987"/>
      <c r="VQW46" s="987"/>
      <c r="VQX46" s="987"/>
      <c r="VQY46" s="987"/>
      <c r="VQZ46" s="987"/>
      <c r="VRA46" s="987"/>
      <c r="VRB46" s="987"/>
      <c r="VRC46" s="987"/>
      <c r="VRD46" s="987"/>
      <c r="VRE46" s="987"/>
      <c r="VRF46" s="987"/>
      <c r="VRG46" s="987"/>
      <c r="VRH46" s="987"/>
      <c r="VRI46" s="987"/>
      <c r="VRJ46" s="987"/>
      <c r="VRK46" s="987"/>
      <c r="VRL46" s="987"/>
      <c r="VRM46" s="987"/>
      <c r="VRN46" s="987"/>
      <c r="VRO46" s="987"/>
      <c r="VRP46" s="987"/>
      <c r="VRQ46" s="987"/>
      <c r="VRR46" s="987"/>
      <c r="VRS46" s="987"/>
      <c r="VRT46" s="987"/>
      <c r="VRU46" s="987"/>
      <c r="VRV46" s="987"/>
      <c r="VRW46" s="987"/>
      <c r="VRX46" s="987"/>
      <c r="VRY46" s="987"/>
      <c r="VRZ46" s="987"/>
      <c r="VSA46" s="987"/>
      <c r="VSB46" s="987"/>
      <c r="VSC46" s="987"/>
      <c r="VSD46" s="987"/>
      <c r="VSE46" s="987"/>
      <c r="VSF46" s="987"/>
      <c r="VSG46" s="987"/>
      <c r="VSH46" s="987"/>
      <c r="VSI46" s="987"/>
      <c r="VSJ46" s="987"/>
      <c r="VSK46" s="987"/>
      <c r="VSL46" s="987"/>
      <c r="VSM46" s="987"/>
      <c r="VSN46" s="987"/>
      <c r="VSO46" s="987"/>
      <c r="VSP46" s="987"/>
      <c r="VSQ46" s="987"/>
      <c r="VSR46" s="987"/>
      <c r="VSS46" s="987"/>
      <c r="VST46" s="987"/>
      <c r="VSU46" s="987"/>
      <c r="VSV46" s="987"/>
      <c r="VSW46" s="987"/>
      <c r="VSX46" s="987"/>
      <c r="VSY46" s="987"/>
      <c r="VSZ46" s="987"/>
      <c r="VTA46" s="987"/>
      <c r="VTB46" s="987"/>
      <c r="VTC46" s="987"/>
      <c r="VTD46" s="987"/>
      <c r="VTE46" s="987"/>
      <c r="VTF46" s="987"/>
      <c r="VTG46" s="987"/>
      <c r="VTH46" s="987"/>
      <c r="VTI46" s="987"/>
      <c r="VTJ46" s="987"/>
      <c r="VTK46" s="987"/>
      <c r="VTL46" s="987"/>
      <c r="VTM46" s="987"/>
      <c r="VTN46" s="987"/>
      <c r="VTO46" s="987"/>
      <c r="VTP46" s="987"/>
      <c r="VTQ46" s="987"/>
      <c r="VTR46" s="987"/>
      <c r="VTS46" s="987"/>
      <c r="VTT46" s="987"/>
      <c r="VTU46" s="987"/>
      <c r="VTV46" s="987"/>
      <c r="VTW46" s="987"/>
      <c r="VTX46" s="987"/>
      <c r="VTY46" s="987"/>
      <c r="VTZ46" s="987"/>
      <c r="VUA46" s="987"/>
      <c r="VUB46" s="987"/>
      <c r="VUC46" s="987"/>
      <c r="VUD46" s="987"/>
      <c r="VUE46" s="987"/>
      <c r="VUF46" s="987"/>
      <c r="VUG46" s="987"/>
      <c r="VUH46" s="987"/>
      <c r="VUI46" s="987"/>
      <c r="VUJ46" s="987"/>
      <c r="VUK46" s="987"/>
      <c r="VUL46" s="987"/>
      <c r="VUM46" s="987"/>
      <c r="VUN46" s="987"/>
      <c r="VUO46" s="987"/>
      <c r="VUP46" s="987"/>
      <c r="VUQ46" s="987"/>
      <c r="VUR46" s="987"/>
      <c r="VUS46" s="987"/>
      <c r="VUT46" s="987"/>
      <c r="VUU46" s="987"/>
      <c r="VUV46" s="987"/>
      <c r="VUW46" s="987"/>
      <c r="VUX46" s="987"/>
      <c r="VUY46" s="987"/>
      <c r="VUZ46" s="987"/>
      <c r="VVA46" s="987"/>
      <c r="VVB46" s="987"/>
      <c r="VVC46" s="987"/>
      <c r="VVD46" s="987"/>
      <c r="VVE46" s="987"/>
      <c r="VVF46" s="987"/>
      <c r="VVG46" s="987"/>
      <c r="VVH46" s="987"/>
      <c r="VVI46" s="987"/>
      <c r="VVJ46" s="987"/>
      <c r="VVK46" s="987"/>
      <c r="VVL46" s="987"/>
      <c r="VVM46" s="987"/>
      <c r="VVN46" s="987"/>
      <c r="VVO46" s="987"/>
      <c r="VVP46" s="987"/>
      <c r="VVQ46" s="987"/>
      <c r="VVR46" s="987"/>
      <c r="VVS46" s="987"/>
      <c r="VVT46" s="987"/>
      <c r="VVU46" s="987"/>
      <c r="VVV46" s="987"/>
      <c r="VVW46" s="987"/>
      <c r="VVX46" s="987"/>
      <c r="VVY46" s="987"/>
      <c r="VVZ46" s="987"/>
      <c r="VWA46" s="987"/>
      <c r="VWB46" s="987"/>
      <c r="VWC46" s="987"/>
      <c r="VWD46" s="987"/>
      <c r="VWE46" s="987"/>
      <c r="VWF46" s="987"/>
      <c r="VWG46" s="987"/>
      <c r="VWH46" s="987"/>
      <c r="VWI46" s="987"/>
      <c r="VWJ46" s="987"/>
      <c r="VWK46" s="987"/>
      <c r="VWL46" s="987"/>
      <c r="VWM46" s="987"/>
      <c r="VWN46" s="987"/>
      <c r="VWO46" s="987"/>
      <c r="VWP46" s="987"/>
      <c r="VWQ46" s="987"/>
      <c r="VWR46" s="987"/>
      <c r="VWS46" s="987"/>
      <c r="VWT46" s="987"/>
      <c r="VWU46" s="987"/>
      <c r="VWV46" s="987"/>
      <c r="VWW46" s="987"/>
      <c r="VWX46" s="987"/>
      <c r="VWY46" s="987"/>
      <c r="VWZ46" s="987"/>
      <c r="VXA46" s="987"/>
      <c r="VXB46" s="987"/>
      <c r="VXC46" s="987"/>
      <c r="VXD46" s="987"/>
      <c r="VXE46" s="987"/>
      <c r="VXF46" s="987"/>
      <c r="VXG46" s="987"/>
      <c r="VXH46" s="987"/>
      <c r="VXI46" s="987"/>
      <c r="VXJ46" s="987"/>
      <c r="VXK46" s="987"/>
      <c r="VXL46" s="987"/>
      <c r="VXM46" s="987"/>
      <c r="VXN46" s="987"/>
      <c r="VXO46" s="987"/>
      <c r="VXP46" s="987"/>
      <c r="VXQ46" s="987"/>
      <c r="VXR46" s="987"/>
      <c r="VXS46" s="987"/>
      <c r="VXT46" s="987"/>
      <c r="VXU46" s="987"/>
      <c r="VXV46" s="987"/>
      <c r="VXW46" s="987"/>
      <c r="VXX46" s="987"/>
      <c r="VXY46" s="987"/>
      <c r="VXZ46" s="987"/>
      <c r="VYA46" s="987"/>
      <c r="VYB46" s="987"/>
      <c r="VYC46" s="987"/>
      <c r="VYD46" s="987"/>
      <c r="VYE46" s="987"/>
      <c r="VYF46" s="987"/>
      <c r="VYG46" s="987"/>
      <c r="VYH46" s="987"/>
      <c r="VYI46" s="987"/>
      <c r="VYJ46" s="987"/>
      <c r="VYK46" s="987"/>
      <c r="VYL46" s="987"/>
      <c r="VYM46" s="987"/>
      <c r="VYN46" s="987"/>
      <c r="VYO46" s="987"/>
      <c r="VYP46" s="987"/>
      <c r="VYQ46" s="987"/>
      <c r="VYR46" s="987"/>
      <c r="VYS46" s="987"/>
      <c r="VYT46" s="987"/>
      <c r="VYU46" s="987"/>
      <c r="VYV46" s="987"/>
      <c r="VYW46" s="987"/>
      <c r="VYX46" s="987"/>
      <c r="VYY46" s="987"/>
      <c r="VYZ46" s="987"/>
      <c r="VZA46" s="987"/>
      <c r="VZB46" s="987"/>
      <c r="VZC46" s="987"/>
      <c r="VZD46" s="987"/>
      <c r="VZE46" s="987"/>
      <c r="VZF46" s="987"/>
      <c r="VZG46" s="987"/>
      <c r="VZH46" s="987"/>
      <c r="VZI46" s="987"/>
      <c r="VZJ46" s="987"/>
      <c r="VZK46" s="987"/>
      <c r="VZL46" s="987"/>
      <c r="VZM46" s="987"/>
      <c r="VZN46" s="987"/>
      <c r="VZO46" s="987"/>
      <c r="VZP46" s="987"/>
      <c r="VZQ46" s="987"/>
      <c r="VZR46" s="987"/>
      <c r="VZS46" s="987"/>
      <c r="VZT46" s="987"/>
      <c r="VZU46" s="987"/>
      <c r="VZV46" s="987"/>
      <c r="VZW46" s="987"/>
      <c r="VZX46" s="987"/>
      <c r="VZY46" s="987"/>
      <c r="VZZ46" s="987"/>
      <c r="WAA46" s="987"/>
      <c r="WAB46" s="987"/>
      <c r="WAC46" s="987"/>
      <c r="WAD46" s="987"/>
      <c r="WAE46" s="987"/>
      <c r="WAF46" s="987"/>
      <c r="WAG46" s="987"/>
      <c r="WAH46" s="987"/>
      <c r="WAI46" s="987"/>
      <c r="WAJ46" s="987"/>
      <c r="WAK46" s="987"/>
      <c r="WAL46" s="987"/>
      <c r="WAM46" s="987"/>
      <c r="WAN46" s="987"/>
      <c r="WAO46" s="987"/>
      <c r="WAP46" s="987"/>
      <c r="WAQ46" s="987"/>
      <c r="WAR46" s="987"/>
      <c r="WAS46" s="987"/>
      <c r="WAT46" s="987"/>
      <c r="WAU46" s="987"/>
      <c r="WAV46" s="987"/>
      <c r="WAW46" s="987"/>
      <c r="WAX46" s="987"/>
      <c r="WAY46" s="987"/>
      <c r="WAZ46" s="987"/>
      <c r="WBA46" s="987"/>
      <c r="WBB46" s="987"/>
      <c r="WBC46" s="987"/>
      <c r="WBD46" s="987"/>
      <c r="WBE46" s="987"/>
      <c r="WBF46" s="987"/>
      <c r="WBG46" s="987"/>
      <c r="WBH46" s="987"/>
      <c r="WBI46" s="987"/>
      <c r="WBJ46" s="987"/>
      <c r="WBK46" s="987"/>
      <c r="WBL46" s="987"/>
      <c r="WBM46" s="987"/>
      <c r="WBN46" s="987"/>
      <c r="WBO46" s="987"/>
      <c r="WBP46" s="987"/>
      <c r="WBQ46" s="987"/>
      <c r="WBR46" s="987"/>
      <c r="WBS46" s="987"/>
      <c r="WBT46" s="987"/>
      <c r="WBU46" s="987"/>
      <c r="WBV46" s="987"/>
      <c r="WBW46" s="987"/>
      <c r="WBX46" s="987"/>
      <c r="WBY46" s="987"/>
      <c r="WBZ46" s="987"/>
      <c r="WCA46" s="987"/>
      <c r="WCB46" s="987"/>
      <c r="WCC46" s="987"/>
      <c r="WCD46" s="987"/>
      <c r="WCE46" s="987"/>
      <c r="WCF46" s="987"/>
      <c r="WCG46" s="987"/>
      <c r="WCH46" s="987"/>
      <c r="WCI46" s="987"/>
      <c r="WCJ46" s="987"/>
      <c r="WCK46" s="987"/>
      <c r="WCL46" s="987"/>
      <c r="WCM46" s="987"/>
      <c r="WCN46" s="987"/>
      <c r="WCO46" s="987"/>
      <c r="WCP46" s="987"/>
      <c r="WCQ46" s="987"/>
      <c r="WCR46" s="987"/>
      <c r="WCS46" s="987"/>
      <c r="WCT46" s="987"/>
      <c r="WCU46" s="987"/>
      <c r="WCV46" s="987"/>
      <c r="WCW46" s="987"/>
      <c r="WCX46" s="987"/>
      <c r="WCY46" s="987"/>
      <c r="WCZ46" s="987"/>
      <c r="WDA46" s="987"/>
      <c r="WDB46" s="987"/>
      <c r="WDC46" s="987"/>
      <c r="WDD46" s="987"/>
      <c r="WDE46" s="987"/>
      <c r="WDF46" s="987"/>
      <c r="WDG46" s="987"/>
      <c r="WDH46" s="987"/>
      <c r="WDI46" s="987"/>
      <c r="WDJ46" s="987"/>
      <c r="WDK46" s="987"/>
      <c r="WDL46" s="987"/>
      <c r="WDM46" s="987"/>
      <c r="WDN46" s="987"/>
      <c r="WDO46" s="987"/>
      <c r="WDP46" s="987"/>
      <c r="WDQ46" s="987"/>
      <c r="WDR46" s="987"/>
      <c r="WDS46" s="987"/>
      <c r="WDT46" s="987"/>
      <c r="WDU46" s="987"/>
      <c r="WDV46" s="987"/>
      <c r="WDW46" s="987"/>
      <c r="WDX46" s="987"/>
      <c r="WDY46" s="987"/>
      <c r="WDZ46" s="987"/>
      <c r="WEA46" s="987"/>
      <c r="WEB46" s="987"/>
      <c r="WEC46" s="987"/>
      <c r="WED46" s="987"/>
      <c r="WEE46" s="987"/>
      <c r="WEF46" s="987"/>
      <c r="WEG46" s="987"/>
      <c r="WEH46" s="987"/>
      <c r="WEI46" s="987"/>
      <c r="WEJ46" s="987"/>
      <c r="WEK46" s="987"/>
      <c r="WEL46" s="987"/>
      <c r="WEM46" s="987"/>
      <c r="WEN46" s="987"/>
      <c r="WEO46" s="987"/>
      <c r="WEP46" s="987"/>
      <c r="WEQ46" s="987"/>
      <c r="WER46" s="987"/>
      <c r="WES46" s="987"/>
      <c r="WET46" s="987"/>
      <c r="WEU46" s="987"/>
      <c r="WEV46" s="987"/>
      <c r="WEW46" s="987"/>
      <c r="WEX46" s="987"/>
      <c r="WEY46" s="987"/>
      <c r="WEZ46" s="987"/>
      <c r="WFA46" s="987"/>
      <c r="WFB46" s="987"/>
      <c r="WFC46" s="987"/>
      <c r="WFD46" s="987"/>
      <c r="WFE46" s="987"/>
      <c r="WFF46" s="987"/>
      <c r="WFG46" s="987"/>
      <c r="WFH46" s="987"/>
      <c r="WFI46" s="987"/>
      <c r="WFJ46" s="987"/>
      <c r="WFK46" s="987"/>
      <c r="WFL46" s="987"/>
      <c r="WFM46" s="987"/>
      <c r="WFN46" s="987"/>
      <c r="WFO46" s="987"/>
      <c r="WFP46" s="987"/>
      <c r="WFQ46" s="987"/>
      <c r="WFR46" s="987"/>
      <c r="WFS46" s="987"/>
      <c r="WFT46" s="987"/>
      <c r="WFU46" s="987"/>
      <c r="WFV46" s="987"/>
      <c r="WFW46" s="987"/>
      <c r="WFX46" s="987"/>
      <c r="WFY46" s="987"/>
      <c r="WFZ46" s="987"/>
      <c r="WGA46" s="987"/>
      <c r="WGB46" s="987"/>
      <c r="WGC46" s="987"/>
      <c r="WGD46" s="987"/>
      <c r="WGE46" s="987"/>
      <c r="WGF46" s="987"/>
      <c r="WGG46" s="987"/>
      <c r="WGH46" s="987"/>
      <c r="WGI46" s="987"/>
      <c r="WGJ46" s="987"/>
      <c r="WGK46" s="987"/>
      <c r="WGL46" s="987"/>
      <c r="WGM46" s="987"/>
      <c r="WGN46" s="987"/>
      <c r="WGO46" s="987"/>
      <c r="WGP46" s="987"/>
      <c r="WGQ46" s="987"/>
      <c r="WGR46" s="987"/>
      <c r="WGS46" s="987"/>
      <c r="WGT46" s="987"/>
      <c r="WGU46" s="987"/>
      <c r="WGV46" s="987"/>
      <c r="WGW46" s="987"/>
      <c r="WGX46" s="987"/>
      <c r="WGY46" s="987"/>
      <c r="WGZ46" s="987"/>
      <c r="WHA46" s="987"/>
      <c r="WHB46" s="987"/>
      <c r="WHC46" s="987"/>
      <c r="WHD46" s="987"/>
      <c r="WHE46" s="987"/>
      <c r="WHF46" s="987"/>
      <c r="WHG46" s="987"/>
      <c r="WHH46" s="987"/>
      <c r="WHI46" s="987"/>
      <c r="WHJ46" s="987"/>
      <c r="WHK46" s="987"/>
      <c r="WHL46" s="987"/>
      <c r="WHM46" s="987"/>
      <c r="WHN46" s="987"/>
      <c r="WHO46" s="987"/>
      <c r="WHP46" s="987"/>
      <c r="WHQ46" s="987"/>
      <c r="WHR46" s="987"/>
      <c r="WHS46" s="987"/>
      <c r="WHT46" s="987"/>
      <c r="WHU46" s="987"/>
      <c r="WHV46" s="987"/>
      <c r="WHW46" s="987"/>
      <c r="WHX46" s="987"/>
      <c r="WHY46" s="987"/>
      <c r="WHZ46" s="987"/>
      <c r="WIA46" s="987"/>
      <c r="WIB46" s="987"/>
      <c r="WIC46" s="987"/>
      <c r="WID46" s="987"/>
      <c r="WIE46" s="987"/>
      <c r="WIF46" s="987"/>
      <c r="WIG46" s="987"/>
      <c r="WIH46" s="987"/>
      <c r="WII46" s="987"/>
      <c r="WIJ46" s="987"/>
      <c r="WIK46" s="987"/>
      <c r="WIL46" s="987"/>
      <c r="WIM46" s="987"/>
      <c r="WIN46" s="987"/>
      <c r="WIO46" s="987"/>
      <c r="WIP46" s="987"/>
      <c r="WIQ46" s="987"/>
      <c r="WIR46" s="987"/>
      <c r="WIS46" s="987"/>
      <c r="WIT46" s="987"/>
      <c r="WIU46" s="987"/>
      <c r="WIV46" s="987"/>
      <c r="WIW46" s="987"/>
      <c r="WIX46" s="987"/>
      <c r="WIY46" s="987"/>
      <c r="WIZ46" s="987"/>
      <c r="WJA46" s="987"/>
      <c r="WJB46" s="987"/>
      <c r="WJC46" s="987"/>
      <c r="WJD46" s="987"/>
      <c r="WJE46" s="987"/>
      <c r="WJF46" s="987"/>
      <c r="WJG46" s="987"/>
      <c r="WJH46" s="987"/>
      <c r="WJI46" s="987"/>
      <c r="WJJ46" s="987"/>
      <c r="WJK46" s="987"/>
      <c r="WJL46" s="987"/>
      <c r="WJM46" s="987"/>
      <c r="WJN46" s="987"/>
      <c r="WJO46" s="987"/>
      <c r="WJP46" s="987"/>
      <c r="WJQ46" s="987"/>
      <c r="WJR46" s="987"/>
      <c r="WJS46" s="987"/>
      <c r="WJT46" s="987"/>
      <c r="WJU46" s="987"/>
      <c r="WJV46" s="987"/>
      <c r="WJW46" s="987"/>
      <c r="WJX46" s="987"/>
      <c r="WJY46" s="987"/>
      <c r="WJZ46" s="987"/>
      <c r="WKA46" s="987"/>
      <c r="WKB46" s="987"/>
      <c r="WKC46" s="987"/>
      <c r="WKD46" s="987"/>
      <c r="WKE46" s="987"/>
      <c r="WKF46" s="987"/>
      <c r="WKG46" s="987"/>
      <c r="WKH46" s="987"/>
      <c r="WKI46" s="987"/>
      <c r="WKJ46" s="987"/>
      <c r="WKK46" s="987"/>
      <c r="WKL46" s="987"/>
      <c r="WKM46" s="987"/>
      <c r="WKN46" s="987"/>
      <c r="WKO46" s="987"/>
      <c r="WKP46" s="987"/>
      <c r="WKQ46" s="987"/>
      <c r="WKR46" s="987"/>
      <c r="WKS46" s="987"/>
      <c r="WKT46" s="987"/>
      <c r="WKU46" s="987"/>
      <c r="WKV46" s="987"/>
      <c r="WKW46" s="987"/>
      <c r="WKX46" s="987"/>
      <c r="WKY46" s="987"/>
      <c r="WKZ46" s="987"/>
      <c r="WLA46" s="987"/>
      <c r="WLB46" s="987"/>
      <c r="WLC46" s="987"/>
      <c r="WLD46" s="987"/>
      <c r="WLE46" s="987"/>
      <c r="WLF46" s="987"/>
      <c r="WLG46" s="987"/>
      <c r="WLH46" s="987"/>
      <c r="WLI46" s="987"/>
      <c r="WLJ46" s="987"/>
      <c r="WLK46" s="987"/>
      <c r="WLL46" s="987"/>
      <c r="WLM46" s="987"/>
      <c r="WLN46" s="987"/>
      <c r="WLO46" s="987"/>
      <c r="WLP46" s="987"/>
      <c r="WLQ46" s="987"/>
      <c r="WLR46" s="987"/>
      <c r="WLS46" s="987"/>
      <c r="WLT46" s="987"/>
      <c r="WLU46" s="987"/>
      <c r="WLV46" s="987"/>
      <c r="WLW46" s="987"/>
      <c r="WLX46" s="987"/>
      <c r="WLY46" s="987"/>
      <c r="WLZ46" s="987"/>
      <c r="WMA46" s="987"/>
      <c r="WMB46" s="987"/>
      <c r="WMC46" s="987"/>
      <c r="WMD46" s="987"/>
      <c r="WME46" s="987"/>
      <c r="WMF46" s="987"/>
      <c r="WMG46" s="987"/>
      <c r="WMH46" s="987"/>
      <c r="WMI46" s="987"/>
      <c r="WMJ46" s="987"/>
      <c r="WMK46" s="987"/>
      <c r="WML46" s="987"/>
      <c r="WMM46" s="987"/>
      <c r="WMN46" s="987"/>
      <c r="WMO46" s="987"/>
      <c r="WMP46" s="987"/>
      <c r="WMQ46" s="987"/>
      <c r="WMR46" s="987"/>
      <c r="WMS46" s="987"/>
      <c r="WMT46" s="987"/>
      <c r="WMU46" s="987"/>
      <c r="WMV46" s="987"/>
      <c r="WMW46" s="987"/>
      <c r="WMX46" s="987"/>
      <c r="WMY46" s="987"/>
      <c r="WMZ46" s="987"/>
      <c r="WNA46" s="987"/>
      <c r="WNB46" s="987"/>
      <c r="WNC46" s="987"/>
      <c r="WND46" s="987"/>
      <c r="WNE46" s="987"/>
      <c r="WNF46" s="987"/>
      <c r="WNG46" s="987"/>
      <c r="WNH46" s="987"/>
      <c r="WNI46" s="987"/>
      <c r="WNJ46" s="987"/>
      <c r="WNK46" s="987"/>
      <c r="WNL46" s="987"/>
      <c r="WNM46" s="987"/>
      <c r="WNN46" s="987"/>
      <c r="WNO46" s="987"/>
      <c r="WNP46" s="987"/>
      <c r="WNQ46" s="987"/>
      <c r="WNR46" s="987"/>
      <c r="WNS46" s="987"/>
      <c r="WNT46" s="987"/>
      <c r="WNU46" s="987"/>
      <c r="WNV46" s="987"/>
      <c r="WNW46" s="987"/>
      <c r="WNX46" s="987"/>
      <c r="WNY46" s="987"/>
      <c r="WNZ46" s="987"/>
      <c r="WOA46" s="987"/>
      <c r="WOB46" s="987"/>
      <c r="WOC46" s="987"/>
      <c r="WOD46" s="987"/>
      <c r="WOE46" s="987"/>
      <c r="WOF46" s="987"/>
      <c r="WOG46" s="987"/>
      <c r="WOH46" s="987"/>
      <c r="WOI46" s="987"/>
      <c r="WOJ46" s="987"/>
      <c r="WOK46" s="987"/>
      <c r="WOL46" s="987"/>
      <c r="WOM46" s="987"/>
      <c r="WON46" s="987"/>
      <c r="WOO46" s="987"/>
      <c r="WOP46" s="987"/>
      <c r="WOQ46" s="987"/>
      <c r="WOR46" s="987"/>
      <c r="WOS46" s="987"/>
      <c r="WOT46" s="987"/>
      <c r="WOU46" s="987"/>
      <c r="WOV46" s="987"/>
      <c r="WOW46" s="987"/>
      <c r="WOX46" s="987"/>
      <c r="WOY46" s="987"/>
      <c r="WOZ46" s="987"/>
      <c r="WPA46" s="987"/>
      <c r="WPB46" s="987"/>
      <c r="WPC46" s="987"/>
      <c r="WPD46" s="987"/>
      <c r="WPE46" s="987"/>
      <c r="WPF46" s="987"/>
      <c r="WPG46" s="987"/>
      <c r="WPH46" s="987"/>
      <c r="WPI46" s="987"/>
      <c r="WPJ46" s="987"/>
      <c r="WPK46" s="987"/>
      <c r="WPL46" s="987"/>
      <c r="WPM46" s="987"/>
      <c r="WPN46" s="987"/>
      <c r="WPO46" s="987"/>
      <c r="WPP46" s="987"/>
      <c r="WPQ46" s="987"/>
      <c r="WPR46" s="987"/>
      <c r="WPS46" s="987"/>
      <c r="WPT46" s="987"/>
      <c r="WPU46" s="987"/>
      <c r="WPV46" s="987"/>
      <c r="WPW46" s="987"/>
      <c r="WPX46" s="987"/>
      <c r="WPY46" s="987"/>
      <c r="WPZ46" s="987"/>
      <c r="WQA46" s="987"/>
      <c r="WQB46" s="987"/>
      <c r="WQC46" s="987"/>
      <c r="WQD46" s="987"/>
      <c r="WQE46" s="987"/>
      <c r="WQF46" s="987"/>
      <c r="WQG46" s="987"/>
      <c r="WQH46" s="987"/>
      <c r="WQI46" s="987"/>
      <c r="WQJ46" s="987"/>
      <c r="WQK46" s="987"/>
      <c r="WQL46" s="987"/>
      <c r="WQM46" s="987"/>
      <c r="WQN46" s="987"/>
      <c r="WQO46" s="987"/>
      <c r="WQP46" s="987"/>
      <c r="WQQ46" s="987"/>
      <c r="WQR46" s="987"/>
      <c r="WQS46" s="987"/>
      <c r="WQT46" s="987"/>
      <c r="WQU46" s="987"/>
      <c r="WQV46" s="987"/>
      <c r="WQW46" s="987"/>
      <c r="WQX46" s="987"/>
      <c r="WQY46" s="987"/>
      <c r="WQZ46" s="987"/>
      <c r="WRA46" s="987"/>
      <c r="WRB46" s="987"/>
      <c r="WRC46" s="987"/>
      <c r="WRD46" s="987"/>
      <c r="WRE46" s="987"/>
      <c r="WRF46" s="987"/>
      <c r="WRG46" s="987"/>
      <c r="WRH46" s="987"/>
      <c r="WRI46" s="987"/>
      <c r="WRJ46" s="987"/>
      <c r="WRK46" s="987"/>
      <c r="WRL46" s="987"/>
      <c r="WRM46" s="987"/>
      <c r="WRN46" s="987"/>
      <c r="WRO46" s="987"/>
      <c r="WRP46" s="987"/>
      <c r="WRQ46" s="987"/>
      <c r="WRR46" s="987"/>
      <c r="WRS46" s="987"/>
      <c r="WRT46" s="987"/>
      <c r="WRU46" s="987"/>
      <c r="WRV46" s="987"/>
      <c r="WRW46" s="987"/>
      <c r="WRX46" s="987"/>
      <c r="WRY46" s="987"/>
      <c r="WRZ46" s="987"/>
      <c r="WSA46" s="987"/>
      <c r="WSB46" s="987"/>
      <c r="WSC46" s="987"/>
      <c r="WSD46" s="987"/>
      <c r="WSE46" s="987"/>
      <c r="WSF46" s="987"/>
      <c r="WSG46" s="987"/>
      <c r="WSH46" s="987"/>
      <c r="WSI46" s="987"/>
      <c r="WSJ46" s="987"/>
      <c r="WSK46" s="987"/>
      <c r="WSL46" s="987"/>
      <c r="WSM46" s="987"/>
      <c r="WSN46" s="987"/>
      <c r="WSO46" s="987"/>
      <c r="WSP46" s="987"/>
      <c r="WSQ46" s="987"/>
      <c r="WSR46" s="987"/>
      <c r="WSS46" s="987"/>
      <c r="WST46" s="987"/>
      <c r="WSU46" s="987"/>
      <c r="WSV46" s="987"/>
      <c r="WSW46" s="987"/>
      <c r="WSX46" s="987"/>
      <c r="WSY46" s="987"/>
      <c r="WSZ46" s="987"/>
      <c r="WTA46" s="987"/>
      <c r="WTB46" s="987"/>
      <c r="WTC46" s="987"/>
      <c r="WTD46" s="987"/>
      <c r="WTE46" s="987"/>
      <c r="WTF46" s="987"/>
      <c r="WTG46" s="987"/>
      <c r="WTH46" s="987"/>
      <c r="WTI46" s="987"/>
      <c r="WTJ46" s="987"/>
      <c r="WTK46" s="987"/>
      <c r="WTL46" s="987"/>
      <c r="WTM46" s="987"/>
      <c r="WTN46" s="987"/>
      <c r="WTO46" s="987"/>
      <c r="WTP46" s="987"/>
      <c r="WTQ46" s="987"/>
      <c r="WTR46" s="987"/>
      <c r="WTS46" s="987"/>
      <c r="WTT46" s="987"/>
      <c r="WTU46" s="987"/>
      <c r="WTV46" s="987"/>
      <c r="WTW46" s="987"/>
      <c r="WTX46" s="987"/>
      <c r="WTY46" s="987"/>
      <c r="WTZ46" s="987"/>
      <c r="WUA46" s="987"/>
      <c r="WUB46" s="987"/>
      <c r="WUC46" s="987"/>
      <c r="WUD46" s="987"/>
      <c r="WUE46" s="987"/>
      <c r="WUF46" s="987"/>
      <c r="WUG46" s="987"/>
      <c r="WUH46" s="987"/>
      <c r="WUI46" s="987"/>
      <c r="WUJ46" s="987"/>
      <c r="WUK46" s="987"/>
      <c r="WUL46" s="987"/>
      <c r="WUM46" s="987"/>
      <c r="WUN46" s="987"/>
      <c r="WUO46" s="987"/>
      <c r="WUP46" s="987"/>
      <c r="WUQ46" s="987"/>
      <c r="WUR46" s="987"/>
      <c r="WUS46" s="987"/>
      <c r="WUT46" s="987"/>
      <c r="WUU46" s="987"/>
      <c r="WUV46" s="987"/>
      <c r="WUW46" s="987"/>
      <c r="WUX46" s="987"/>
      <c r="WUY46" s="987"/>
      <c r="WUZ46" s="987"/>
      <c r="WVA46" s="987"/>
      <c r="WVB46" s="987"/>
      <c r="WVC46" s="987"/>
      <c r="WVD46" s="987"/>
      <c r="WVE46" s="987"/>
      <c r="WVF46" s="987"/>
      <c r="WVG46" s="987"/>
      <c r="WVH46" s="987"/>
      <c r="WVI46" s="987"/>
      <c r="WVJ46" s="987"/>
      <c r="WVK46" s="987"/>
      <c r="WVL46" s="987"/>
      <c r="WVM46" s="987"/>
      <c r="WVN46" s="987"/>
      <c r="WVO46" s="987"/>
      <c r="WVP46" s="987"/>
      <c r="WVQ46" s="987"/>
      <c r="WVR46" s="987"/>
      <c r="WVS46" s="987"/>
      <c r="WVT46" s="987"/>
      <c r="WVU46" s="987"/>
      <c r="WVV46" s="987"/>
      <c r="WVW46" s="987"/>
      <c r="WVX46" s="987"/>
      <c r="WVY46" s="987"/>
      <c r="WVZ46" s="987"/>
      <c r="WWA46" s="987"/>
      <c r="WWB46" s="987"/>
      <c r="WWC46" s="987"/>
      <c r="WWD46" s="987"/>
      <c r="WWE46" s="987"/>
      <c r="WWF46" s="987"/>
      <c r="WWG46" s="987"/>
      <c r="WWH46" s="987"/>
      <c r="WWI46" s="987"/>
      <c r="WWJ46" s="987"/>
      <c r="WWK46" s="987"/>
      <c r="WWL46" s="987"/>
      <c r="WWM46" s="987"/>
      <c r="WWN46" s="987"/>
      <c r="WWO46" s="987"/>
      <c r="WWP46" s="987"/>
      <c r="WWQ46" s="987"/>
      <c r="WWR46" s="987"/>
      <c r="WWS46" s="987"/>
      <c r="WWT46" s="987"/>
      <c r="WWU46" s="987"/>
      <c r="WWV46" s="987"/>
      <c r="WWW46" s="987"/>
      <c r="WWX46" s="987"/>
      <c r="WWY46" s="987"/>
      <c r="WWZ46" s="987"/>
      <c r="WXA46" s="987"/>
      <c r="WXB46" s="987"/>
      <c r="WXC46" s="987"/>
      <c r="WXD46" s="987"/>
      <c r="WXE46" s="987"/>
      <c r="WXF46" s="987"/>
      <c r="WXG46" s="987"/>
      <c r="WXH46" s="987"/>
      <c r="WXI46" s="987"/>
      <c r="WXJ46" s="987"/>
      <c r="WXK46" s="987"/>
      <c r="WXL46" s="987"/>
      <c r="WXM46" s="987"/>
      <c r="WXN46" s="987"/>
      <c r="WXO46" s="987"/>
      <c r="WXP46" s="987"/>
      <c r="WXQ46" s="987"/>
      <c r="WXR46" s="987"/>
      <c r="WXS46" s="987"/>
      <c r="WXT46" s="987"/>
      <c r="WXU46" s="987"/>
      <c r="WXV46" s="987"/>
      <c r="WXW46" s="987"/>
      <c r="WXX46" s="987"/>
      <c r="WXY46" s="987"/>
      <c r="WXZ46" s="987"/>
      <c r="WYA46" s="987"/>
      <c r="WYB46" s="987"/>
      <c r="WYC46" s="987"/>
      <c r="WYD46" s="987"/>
      <c r="WYE46" s="987"/>
      <c r="WYF46" s="987"/>
      <c r="WYG46" s="987"/>
      <c r="WYH46" s="987"/>
      <c r="WYI46" s="987"/>
      <c r="WYJ46" s="987"/>
      <c r="WYK46" s="987"/>
      <c r="WYL46" s="987"/>
      <c r="WYM46" s="987"/>
      <c r="WYN46" s="987"/>
      <c r="WYO46" s="987"/>
      <c r="WYP46" s="987"/>
      <c r="WYQ46" s="987"/>
      <c r="WYR46" s="987"/>
      <c r="WYS46" s="987"/>
      <c r="WYT46" s="987"/>
      <c r="WYU46" s="987"/>
      <c r="WYV46" s="987"/>
      <c r="WYW46" s="987"/>
      <c r="WYX46" s="987"/>
      <c r="WYY46" s="987"/>
      <c r="WYZ46" s="987"/>
      <c r="WZA46" s="987"/>
      <c r="WZB46" s="987"/>
      <c r="WZC46" s="987"/>
      <c r="WZD46" s="987"/>
      <c r="WZE46" s="987"/>
      <c r="WZF46" s="987"/>
      <c r="WZG46" s="987"/>
      <c r="WZH46" s="987"/>
      <c r="WZI46" s="987"/>
      <c r="WZJ46" s="987"/>
      <c r="WZK46" s="987"/>
      <c r="WZL46" s="987"/>
      <c r="WZM46" s="987"/>
      <c r="WZN46" s="987"/>
      <c r="WZO46" s="987"/>
      <c r="WZP46" s="987"/>
      <c r="WZQ46" s="987"/>
      <c r="WZR46" s="987"/>
      <c r="WZS46" s="987"/>
      <c r="WZT46" s="987"/>
      <c r="WZU46" s="987"/>
      <c r="WZV46" s="987"/>
      <c r="WZW46" s="987"/>
      <c r="WZX46" s="987"/>
      <c r="WZY46" s="987"/>
      <c r="WZZ46" s="987"/>
      <c r="XAA46" s="987"/>
      <c r="XAB46" s="987"/>
      <c r="XAC46" s="987"/>
      <c r="XAD46" s="987"/>
      <c r="XAE46" s="987"/>
      <c r="XAF46" s="987"/>
      <c r="XAG46" s="987"/>
      <c r="XAH46" s="987"/>
      <c r="XAI46" s="987"/>
      <c r="XAJ46" s="987"/>
      <c r="XAK46" s="987"/>
      <c r="XAL46" s="987"/>
      <c r="XAM46" s="987"/>
      <c r="XAN46" s="987"/>
      <c r="XAO46" s="987"/>
      <c r="XAP46" s="987"/>
      <c r="XAQ46" s="987"/>
      <c r="XAR46" s="987"/>
      <c r="XAS46" s="987"/>
      <c r="XAT46" s="987"/>
      <c r="XAU46" s="987"/>
      <c r="XAV46" s="987"/>
      <c r="XAW46" s="987"/>
      <c r="XAX46" s="987"/>
      <c r="XAY46" s="987"/>
      <c r="XAZ46" s="987"/>
      <c r="XBA46" s="987"/>
      <c r="XBB46" s="987"/>
      <c r="XBC46" s="987"/>
      <c r="XBD46" s="987"/>
      <c r="XBE46" s="987"/>
      <c r="XBF46" s="987"/>
      <c r="XBG46" s="987"/>
      <c r="XBH46" s="987"/>
      <c r="XBI46" s="987"/>
      <c r="XBJ46" s="987"/>
      <c r="XBK46" s="987"/>
      <c r="XBL46" s="987"/>
      <c r="XBM46" s="987"/>
      <c r="XBN46" s="987"/>
      <c r="XBO46" s="987"/>
      <c r="XBP46" s="987"/>
      <c r="XBQ46" s="987"/>
      <c r="XBR46" s="987"/>
      <c r="XBS46" s="987"/>
      <c r="XBT46" s="987"/>
      <c r="XBU46" s="987"/>
      <c r="XBV46" s="987"/>
      <c r="XBW46" s="987"/>
      <c r="XBX46" s="987"/>
      <c r="XBY46" s="987"/>
      <c r="XBZ46" s="987"/>
      <c r="XCA46" s="987"/>
      <c r="XCB46" s="987"/>
      <c r="XCC46" s="987"/>
      <c r="XCD46" s="987"/>
      <c r="XCE46" s="987"/>
      <c r="XCF46" s="987"/>
      <c r="XCG46" s="987"/>
      <c r="XCH46" s="987"/>
      <c r="XCI46" s="987"/>
      <c r="XCJ46" s="987"/>
      <c r="XCK46" s="987"/>
      <c r="XCL46" s="987"/>
      <c r="XCM46" s="987"/>
      <c r="XCN46" s="987"/>
      <c r="XCO46" s="987"/>
      <c r="XCP46" s="987"/>
      <c r="XCQ46" s="987"/>
      <c r="XCR46" s="987"/>
      <c r="XCS46" s="987"/>
      <c r="XCT46" s="987"/>
      <c r="XCU46" s="987"/>
      <c r="XCV46" s="987"/>
      <c r="XCW46" s="987"/>
      <c r="XCX46" s="987"/>
      <c r="XCY46" s="987"/>
      <c r="XCZ46" s="987"/>
      <c r="XDA46" s="987"/>
      <c r="XDB46" s="987"/>
      <c r="XDC46" s="987"/>
      <c r="XDD46" s="987"/>
      <c r="XDE46" s="987"/>
      <c r="XDF46" s="987"/>
      <c r="XDG46" s="987"/>
      <c r="XDH46" s="987"/>
      <c r="XDI46" s="987"/>
      <c r="XDJ46" s="987"/>
      <c r="XDK46" s="987"/>
      <c r="XDL46" s="987"/>
      <c r="XDM46" s="987"/>
      <c r="XDN46" s="987"/>
      <c r="XDO46" s="987"/>
      <c r="XDP46" s="987"/>
      <c r="XDQ46" s="987"/>
      <c r="XDR46" s="987"/>
      <c r="XDS46" s="987"/>
      <c r="XDT46" s="987"/>
      <c r="XDU46" s="987"/>
      <c r="XDV46" s="987"/>
      <c r="XDW46" s="987"/>
      <c r="XDX46" s="987"/>
      <c r="XDY46" s="987"/>
      <c r="XDZ46" s="987"/>
      <c r="XEA46" s="987"/>
      <c r="XEB46" s="987"/>
      <c r="XEC46" s="987"/>
    </row>
    <row r="47" spans="1:16357" ht="57.75" customHeight="1">
      <c r="A47" s="117" t="s">
        <v>108</v>
      </c>
      <c r="B47" s="122" t="s">
        <v>109</v>
      </c>
      <c r="C47" s="118"/>
      <c r="D47" s="118"/>
      <c r="E47" s="118"/>
      <c r="F47" s="118"/>
      <c r="G47" s="118"/>
      <c r="H47" s="118"/>
      <c r="I47" s="119"/>
      <c r="J47" s="118"/>
      <c r="K47" s="118"/>
      <c r="L47" s="118"/>
      <c r="M47" s="118"/>
      <c r="N47" s="118"/>
      <c r="O47" s="117"/>
      <c r="P47" s="117"/>
      <c r="Q47" s="117"/>
      <c r="R47" s="117"/>
      <c r="S47" s="987"/>
      <c r="T47" s="987"/>
      <c r="U47" s="987"/>
      <c r="V47" s="987"/>
      <c r="W47" s="987"/>
      <c r="X47" s="987"/>
      <c r="Y47" s="987"/>
      <c r="Z47" s="987"/>
      <c r="AA47" s="987"/>
      <c r="AB47" s="987"/>
      <c r="AC47" s="987"/>
      <c r="AD47" s="987"/>
      <c r="AE47" s="987"/>
      <c r="AF47" s="987"/>
      <c r="AG47" s="987"/>
      <c r="AH47" s="6"/>
      <c r="AI47" s="38"/>
      <c r="AJ47" s="6"/>
      <c r="AK47" s="98"/>
      <c r="AL47" s="5"/>
      <c r="AM47" s="190"/>
      <c r="AN47" s="190"/>
      <c r="AO47" s="190"/>
      <c r="AP47" s="190"/>
      <c r="AQ47" s="190"/>
      <c r="AR47" s="190"/>
      <c r="AS47" s="190"/>
      <c r="AT47" s="190"/>
      <c r="AU47" s="190"/>
      <c r="AV47" s="190"/>
      <c r="AW47" s="190"/>
      <c r="AX47" s="987"/>
      <c r="AY47" s="987"/>
      <c r="AZ47" s="987"/>
      <c r="BA47" s="987"/>
      <c r="BB47" s="987"/>
      <c r="BC47" s="987"/>
      <c r="BD47" s="987"/>
      <c r="BE47" s="987"/>
      <c r="BF47" s="987"/>
      <c r="BG47" s="987"/>
      <c r="BH47" s="987"/>
      <c r="BI47" s="987"/>
      <c r="BJ47" s="987"/>
      <c r="BK47" s="987"/>
      <c r="BL47" s="987"/>
      <c r="BM47" s="987"/>
      <c r="BN47" s="987"/>
      <c r="BO47" s="987"/>
      <c r="BP47" s="987"/>
      <c r="BQ47" s="987"/>
      <c r="BR47" s="987"/>
      <c r="BS47" s="987"/>
      <c r="BT47" s="987"/>
      <c r="BU47" s="987"/>
      <c r="BV47" s="190"/>
      <c r="BW47" s="190"/>
      <c r="BX47" s="190"/>
      <c r="BY47" s="987"/>
      <c r="BZ47" s="987"/>
      <c r="CA47" s="987"/>
      <c r="CB47" s="987"/>
      <c r="CC47" s="987"/>
      <c r="CD47" s="987"/>
      <c r="CE47" s="987"/>
      <c r="CF47" s="987"/>
      <c r="CG47" s="987"/>
      <c r="CH47" s="987"/>
      <c r="CI47" s="987"/>
      <c r="CJ47" s="987"/>
      <c r="CK47" s="987"/>
      <c r="CL47" s="987"/>
      <c r="CM47" s="987"/>
      <c r="CN47" s="987"/>
      <c r="CO47" s="987"/>
      <c r="CP47" s="987"/>
      <c r="CQ47" s="987"/>
      <c r="CR47" s="987"/>
      <c r="CS47" s="987"/>
      <c r="CT47" s="987"/>
      <c r="CU47" s="987"/>
      <c r="CV47" s="987"/>
      <c r="CW47" s="987"/>
      <c r="CX47" s="987"/>
      <c r="CY47" s="987"/>
      <c r="CZ47" s="987"/>
      <c r="DA47" s="987"/>
      <c r="DB47" s="987"/>
      <c r="DC47" s="987"/>
      <c r="DD47" s="987"/>
      <c r="DE47" s="987"/>
      <c r="DF47" s="987"/>
      <c r="DG47" s="987"/>
      <c r="DH47" s="987"/>
      <c r="DI47" s="987"/>
      <c r="DJ47" s="987"/>
      <c r="DK47" s="987"/>
      <c r="DL47" s="987"/>
      <c r="DM47" s="987"/>
      <c r="DN47" s="987"/>
      <c r="DO47" s="987"/>
      <c r="DP47" s="987"/>
      <c r="DQ47" s="987"/>
      <c r="DR47" s="987"/>
      <c r="DS47" s="987"/>
      <c r="DT47" s="987"/>
      <c r="DU47" s="987"/>
      <c r="DV47" s="987"/>
      <c r="DW47" s="987"/>
      <c r="DX47" s="987"/>
      <c r="DY47" s="987"/>
      <c r="DZ47" s="987"/>
      <c r="EA47" s="987"/>
      <c r="EB47" s="987"/>
      <c r="EC47" s="987"/>
      <c r="ED47" s="987"/>
      <c r="EE47" s="987"/>
      <c r="EF47" s="987"/>
      <c r="EG47" s="987"/>
      <c r="EH47" s="987"/>
      <c r="EI47" s="987"/>
      <c r="EJ47" s="987"/>
      <c r="EK47" s="987"/>
      <c r="EL47" s="987"/>
      <c r="EM47" s="987"/>
      <c r="EN47" s="987"/>
      <c r="EO47" s="987"/>
      <c r="EP47" s="987"/>
      <c r="EQ47" s="987"/>
      <c r="ER47" s="987"/>
      <c r="ES47" s="987"/>
      <c r="ET47" s="987"/>
      <c r="EU47" s="987"/>
      <c r="EV47" s="987"/>
      <c r="EW47" s="987"/>
      <c r="EX47" s="987"/>
      <c r="EY47" s="987"/>
      <c r="EZ47" s="987"/>
      <c r="FA47" s="987"/>
      <c r="FB47" s="987"/>
      <c r="FC47" s="987"/>
      <c r="FD47" s="987"/>
      <c r="FE47" s="987"/>
      <c r="FF47" s="987"/>
      <c r="FG47" s="987"/>
      <c r="FH47" s="987"/>
      <c r="FI47" s="987"/>
      <c r="FJ47" s="987"/>
      <c r="FK47" s="987"/>
      <c r="FL47" s="987"/>
      <c r="FM47" s="987"/>
      <c r="FN47" s="987"/>
      <c r="FO47" s="987"/>
      <c r="FP47" s="987"/>
      <c r="FQ47" s="987"/>
      <c r="FR47" s="987"/>
      <c r="FS47" s="987"/>
      <c r="FT47" s="987"/>
      <c r="FU47" s="987"/>
      <c r="FV47" s="987"/>
      <c r="FW47" s="987"/>
      <c r="FX47" s="987"/>
      <c r="FY47" s="987"/>
      <c r="FZ47" s="987"/>
      <c r="GA47" s="987"/>
      <c r="GB47" s="987"/>
      <c r="GC47" s="987"/>
      <c r="GD47" s="987"/>
      <c r="GE47" s="987"/>
      <c r="GF47" s="987"/>
      <c r="GG47" s="987"/>
      <c r="GH47" s="987"/>
      <c r="GI47" s="987"/>
      <c r="GJ47" s="987"/>
      <c r="GK47" s="987"/>
      <c r="GL47" s="987"/>
      <c r="GM47" s="987"/>
      <c r="GN47" s="987"/>
      <c r="GO47" s="987"/>
      <c r="GP47" s="987"/>
      <c r="GQ47" s="987"/>
      <c r="GR47" s="987"/>
      <c r="GS47" s="987"/>
      <c r="GT47" s="987"/>
      <c r="GU47" s="987"/>
      <c r="GV47" s="987"/>
      <c r="GW47" s="987"/>
      <c r="GX47" s="987"/>
      <c r="GY47" s="987"/>
      <c r="GZ47" s="987"/>
      <c r="HA47" s="987"/>
      <c r="HB47" s="987"/>
      <c r="HC47" s="987"/>
      <c r="HD47" s="987"/>
      <c r="HE47" s="987"/>
      <c r="HF47" s="987"/>
      <c r="HG47" s="987"/>
      <c r="HH47" s="987"/>
      <c r="HI47" s="987"/>
      <c r="HJ47" s="987"/>
      <c r="HK47" s="987"/>
      <c r="HL47" s="987"/>
      <c r="HM47" s="987"/>
      <c r="HN47" s="987"/>
      <c r="HO47" s="987"/>
      <c r="HP47" s="987"/>
      <c r="HQ47" s="987"/>
      <c r="HR47" s="987"/>
      <c r="HS47" s="987"/>
      <c r="HT47" s="987"/>
      <c r="HU47" s="987"/>
      <c r="HV47" s="987"/>
      <c r="HW47" s="987"/>
      <c r="HX47" s="987"/>
      <c r="HY47" s="987"/>
      <c r="HZ47" s="987"/>
      <c r="IA47" s="987"/>
      <c r="IB47" s="987"/>
      <c r="IC47" s="987"/>
      <c r="ID47" s="987"/>
      <c r="IE47" s="987"/>
      <c r="IF47" s="987"/>
      <c r="IG47" s="987"/>
      <c r="IH47" s="987"/>
      <c r="II47" s="987"/>
      <c r="IJ47" s="987"/>
      <c r="IK47" s="987"/>
      <c r="IL47" s="987"/>
      <c r="IM47" s="987"/>
      <c r="IN47" s="987"/>
      <c r="IO47" s="987"/>
      <c r="IP47" s="987"/>
      <c r="IQ47" s="987"/>
      <c r="IR47" s="987"/>
      <c r="IS47" s="987"/>
      <c r="IT47" s="987"/>
      <c r="IU47" s="987"/>
      <c r="IV47" s="987"/>
      <c r="IW47" s="987"/>
      <c r="IX47" s="987"/>
      <c r="IY47" s="987"/>
      <c r="IZ47" s="987"/>
      <c r="JA47" s="987"/>
      <c r="JB47" s="987"/>
      <c r="JC47" s="987"/>
      <c r="JD47" s="987"/>
      <c r="JE47" s="987"/>
      <c r="JF47" s="987"/>
      <c r="JG47" s="987"/>
      <c r="JH47" s="987"/>
      <c r="JI47" s="987"/>
      <c r="JJ47" s="987"/>
      <c r="JK47" s="987"/>
      <c r="JL47" s="987"/>
      <c r="JM47" s="987"/>
      <c r="JN47" s="987"/>
      <c r="JO47" s="987"/>
      <c r="JP47" s="987"/>
      <c r="JQ47" s="987"/>
      <c r="JR47" s="987"/>
      <c r="JS47" s="987"/>
      <c r="JT47" s="987"/>
      <c r="JU47" s="987"/>
      <c r="JV47" s="987"/>
      <c r="JW47" s="987"/>
      <c r="JX47" s="987"/>
      <c r="JY47" s="987"/>
      <c r="JZ47" s="987"/>
      <c r="KA47" s="987"/>
      <c r="KB47" s="987"/>
      <c r="KC47" s="987"/>
      <c r="KD47" s="987"/>
      <c r="KE47" s="987"/>
      <c r="KF47" s="987"/>
      <c r="KG47" s="987"/>
      <c r="KH47" s="987"/>
      <c r="KI47" s="987"/>
      <c r="KJ47" s="987"/>
      <c r="KK47" s="987"/>
      <c r="KL47" s="987"/>
      <c r="KM47" s="987"/>
      <c r="KN47" s="987"/>
      <c r="KO47" s="987"/>
      <c r="KP47" s="987"/>
      <c r="KQ47" s="987"/>
      <c r="KR47" s="987"/>
      <c r="KS47" s="987"/>
      <c r="KT47" s="987"/>
      <c r="KU47" s="987"/>
      <c r="KV47" s="987"/>
      <c r="KW47" s="987"/>
      <c r="KX47" s="987"/>
      <c r="KY47" s="987"/>
      <c r="KZ47" s="987"/>
      <c r="LA47" s="987"/>
      <c r="LB47" s="987"/>
      <c r="LC47" s="987"/>
      <c r="LD47" s="987"/>
      <c r="LE47" s="987"/>
      <c r="LF47" s="987"/>
      <c r="LG47" s="987"/>
      <c r="LH47" s="987"/>
      <c r="LI47" s="987"/>
      <c r="LJ47" s="987"/>
      <c r="LK47" s="987"/>
      <c r="LL47" s="987"/>
      <c r="LM47" s="987"/>
      <c r="LN47" s="987"/>
      <c r="LO47" s="987"/>
      <c r="LP47" s="987"/>
      <c r="LQ47" s="987"/>
      <c r="LR47" s="987"/>
      <c r="LS47" s="987"/>
      <c r="LT47" s="987"/>
      <c r="LU47" s="987"/>
      <c r="LV47" s="987"/>
      <c r="LW47" s="987"/>
      <c r="LX47" s="987"/>
      <c r="LY47" s="987"/>
      <c r="LZ47" s="987"/>
      <c r="MA47" s="987"/>
      <c r="MB47" s="987"/>
      <c r="MC47" s="987"/>
      <c r="MD47" s="987"/>
      <c r="ME47" s="987"/>
      <c r="MF47" s="987"/>
      <c r="MG47" s="987"/>
      <c r="MH47" s="987"/>
      <c r="MI47" s="987"/>
      <c r="MJ47" s="987"/>
      <c r="MK47" s="987"/>
      <c r="ML47" s="987"/>
      <c r="MM47" s="987"/>
      <c r="MN47" s="987"/>
      <c r="MO47" s="987"/>
      <c r="MP47" s="987"/>
      <c r="MQ47" s="987"/>
      <c r="MR47" s="987"/>
      <c r="MS47" s="987"/>
      <c r="MT47" s="987"/>
      <c r="MU47" s="987"/>
      <c r="MV47" s="987"/>
      <c r="MW47" s="987"/>
      <c r="MX47" s="987"/>
      <c r="MY47" s="987"/>
      <c r="MZ47" s="987"/>
      <c r="NA47" s="987"/>
      <c r="NB47" s="987"/>
      <c r="NC47" s="987"/>
      <c r="ND47" s="987"/>
      <c r="NE47" s="987"/>
      <c r="NF47" s="987"/>
      <c r="NG47" s="987"/>
      <c r="NH47" s="987"/>
      <c r="NI47" s="987"/>
      <c r="NJ47" s="987"/>
      <c r="NK47" s="987"/>
      <c r="NL47" s="987"/>
      <c r="NM47" s="987"/>
      <c r="NN47" s="987"/>
      <c r="NO47" s="987"/>
      <c r="NP47" s="987"/>
      <c r="NQ47" s="987"/>
      <c r="NR47" s="987"/>
      <c r="NS47" s="987"/>
      <c r="NT47" s="987"/>
      <c r="NU47" s="987"/>
      <c r="NV47" s="987"/>
      <c r="NW47" s="987"/>
      <c r="NX47" s="987"/>
      <c r="NY47" s="987"/>
      <c r="NZ47" s="987"/>
      <c r="OA47" s="987"/>
      <c r="OB47" s="987"/>
      <c r="OC47" s="987"/>
      <c r="OD47" s="987"/>
      <c r="OE47" s="987"/>
      <c r="OF47" s="987"/>
      <c r="OG47" s="987"/>
      <c r="OH47" s="987"/>
      <c r="OI47" s="987"/>
      <c r="OJ47" s="987"/>
      <c r="OK47" s="987"/>
      <c r="OL47" s="987"/>
      <c r="OM47" s="987"/>
      <c r="ON47" s="987"/>
      <c r="OO47" s="987"/>
      <c r="OP47" s="987"/>
      <c r="OQ47" s="987"/>
      <c r="OR47" s="987"/>
      <c r="OS47" s="987"/>
      <c r="OT47" s="987"/>
      <c r="OU47" s="987"/>
      <c r="OV47" s="987"/>
      <c r="OW47" s="987"/>
      <c r="OX47" s="987"/>
      <c r="OY47" s="987"/>
      <c r="OZ47" s="987"/>
      <c r="PA47" s="987"/>
      <c r="PB47" s="987"/>
      <c r="PC47" s="987"/>
      <c r="PD47" s="987"/>
      <c r="PE47" s="987"/>
      <c r="PF47" s="987"/>
      <c r="PG47" s="987"/>
      <c r="PH47" s="987"/>
      <c r="PI47" s="987"/>
      <c r="PJ47" s="987"/>
      <c r="PK47" s="987"/>
      <c r="PL47" s="987"/>
      <c r="PM47" s="987"/>
      <c r="PN47" s="987"/>
      <c r="PO47" s="987"/>
      <c r="PP47" s="987"/>
      <c r="PQ47" s="987"/>
      <c r="PR47" s="987"/>
      <c r="PS47" s="987"/>
      <c r="PT47" s="987"/>
      <c r="PU47" s="987"/>
      <c r="PV47" s="987"/>
      <c r="PW47" s="987"/>
      <c r="PX47" s="987"/>
      <c r="PY47" s="987"/>
      <c r="PZ47" s="987"/>
      <c r="QA47" s="987"/>
      <c r="QB47" s="987"/>
      <c r="QC47" s="987"/>
      <c r="QD47" s="987"/>
      <c r="QE47" s="987"/>
      <c r="QF47" s="987"/>
      <c r="QG47" s="987"/>
      <c r="QH47" s="987"/>
      <c r="QI47" s="987"/>
      <c r="QJ47" s="987"/>
      <c r="QK47" s="987"/>
      <c r="QL47" s="987"/>
      <c r="QM47" s="987"/>
      <c r="QN47" s="987"/>
      <c r="QO47" s="987"/>
      <c r="QP47" s="987"/>
      <c r="QQ47" s="987"/>
      <c r="QR47" s="987"/>
      <c r="QS47" s="987"/>
      <c r="QT47" s="987"/>
      <c r="QU47" s="987"/>
      <c r="QV47" s="987"/>
      <c r="QW47" s="987"/>
      <c r="QX47" s="987"/>
      <c r="QY47" s="987"/>
      <c r="QZ47" s="987"/>
      <c r="RA47" s="987"/>
      <c r="RB47" s="987"/>
      <c r="RC47" s="987"/>
      <c r="RD47" s="987"/>
      <c r="RE47" s="987"/>
      <c r="RF47" s="987"/>
      <c r="RG47" s="987"/>
      <c r="RH47" s="987"/>
      <c r="RI47" s="987"/>
      <c r="RJ47" s="987"/>
      <c r="RK47" s="987"/>
      <c r="RL47" s="987"/>
      <c r="RM47" s="987"/>
      <c r="RN47" s="987"/>
      <c r="RO47" s="987"/>
      <c r="RP47" s="987"/>
      <c r="RQ47" s="987"/>
      <c r="RR47" s="987"/>
      <c r="RS47" s="987"/>
      <c r="RT47" s="987"/>
      <c r="RU47" s="987"/>
      <c r="RV47" s="987"/>
      <c r="RW47" s="987"/>
      <c r="RX47" s="987"/>
      <c r="RY47" s="987"/>
      <c r="RZ47" s="987"/>
      <c r="SA47" s="987"/>
      <c r="SB47" s="987"/>
      <c r="SC47" s="987"/>
      <c r="SD47" s="987"/>
      <c r="SE47" s="987"/>
      <c r="SF47" s="987"/>
      <c r="SG47" s="987"/>
      <c r="SH47" s="987"/>
      <c r="SI47" s="987"/>
      <c r="SJ47" s="987"/>
      <c r="SK47" s="987"/>
      <c r="SL47" s="987"/>
      <c r="SM47" s="987"/>
      <c r="SN47" s="987"/>
      <c r="SO47" s="987"/>
      <c r="SP47" s="987"/>
      <c r="SQ47" s="987"/>
      <c r="SR47" s="987"/>
      <c r="SS47" s="987"/>
      <c r="ST47" s="987"/>
      <c r="SU47" s="987"/>
      <c r="SV47" s="987"/>
      <c r="SW47" s="987"/>
      <c r="SX47" s="987"/>
      <c r="SY47" s="987"/>
      <c r="SZ47" s="987"/>
      <c r="TA47" s="987"/>
      <c r="TB47" s="987"/>
      <c r="TC47" s="987"/>
      <c r="TD47" s="987"/>
      <c r="TE47" s="987"/>
      <c r="TF47" s="987"/>
      <c r="TG47" s="987"/>
      <c r="TH47" s="987"/>
      <c r="TI47" s="987"/>
      <c r="TJ47" s="987"/>
      <c r="TK47" s="987"/>
      <c r="TL47" s="987"/>
      <c r="TM47" s="987"/>
      <c r="TN47" s="987"/>
      <c r="TO47" s="987"/>
      <c r="TP47" s="987"/>
      <c r="TQ47" s="987"/>
      <c r="TR47" s="987"/>
      <c r="TS47" s="987"/>
      <c r="TT47" s="987"/>
      <c r="TU47" s="987"/>
      <c r="TV47" s="987"/>
      <c r="TW47" s="987"/>
      <c r="TX47" s="987"/>
      <c r="TY47" s="987"/>
      <c r="TZ47" s="987"/>
      <c r="UA47" s="987"/>
      <c r="UB47" s="987"/>
      <c r="UC47" s="987"/>
      <c r="UD47" s="987"/>
      <c r="UE47" s="987"/>
      <c r="UF47" s="987"/>
      <c r="UG47" s="987"/>
      <c r="UH47" s="987"/>
      <c r="UI47" s="987"/>
      <c r="UJ47" s="987"/>
      <c r="UK47" s="987"/>
      <c r="UL47" s="987"/>
      <c r="UM47" s="987"/>
      <c r="UN47" s="987"/>
      <c r="UO47" s="987"/>
      <c r="UP47" s="987"/>
      <c r="UQ47" s="987"/>
      <c r="UR47" s="987"/>
      <c r="US47" s="987"/>
      <c r="UT47" s="987"/>
      <c r="UU47" s="987"/>
      <c r="UV47" s="987"/>
      <c r="UW47" s="987"/>
      <c r="UX47" s="987"/>
      <c r="UY47" s="987"/>
      <c r="UZ47" s="987"/>
      <c r="VA47" s="987"/>
      <c r="VB47" s="987"/>
      <c r="VC47" s="987"/>
      <c r="VD47" s="987"/>
      <c r="VE47" s="987"/>
      <c r="VF47" s="987"/>
      <c r="VG47" s="987"/>
      <c r="VH47" s="987"/>
      <c r="VI47" s="987"/>
      <c r="VJ47" s="987"/>
      <c r="VK47" s="987"/>
      <c r="VL47" s="987"/>
      <c r="VM47" s="987"/>
      <c r="VN47" s="987"/>
      <c r="VO47" s="987"/>
      <c r="VP47" s="987"/>
      <c r="VQ47" s="987"/>
      <c r="VR47" s="987"/>
      <c r="VS47" s="987"/>
      <c r="VT47" s="987"/>
      <c r="VU47" s="987"/>
      <c r="VV47" s="987"/>
      <c r="VW47" s="987"/>
      <c r="VX47" s="987"/>
      <c r="VY47" s="987"/>
      <c r="VZ47" s="987"/>
      <c r="WA47" s="987"/>
      <c r="WB47" s="987"/>
      <c r="WC47" s="987"/>
      <c r="WD47" s="987"/>
      <c r="WE47" s="987"/>
      <c r="WF47" s="987"/>
      <c r="WG47" s="987"/>
      <c r="WH47" s="987"/>
      <c r="WI47" s="987"/>
      <c r="WJ47" s="987"/>
      <c r="WK47" s="987"/>
      <c r="WL47" s="987"/>
      <c r="WM47" s="987"/>
      <c r="WN47" s="987"/>
      <c r="WO47" s="987"/>
      <c r="WP47" s="987"/>
      <c r="WQ47" s="987"/>
      <c r="WR47" s="987"/>
      <c r="WS47" s="987"/>
      <c r="WT47" s="987"/>
      <c r="WU47" s="987"/>
      <c r="WV47" s="987"/>
      <c r="WW47" s="987"/>
      <c r="WX47" s="987"/>
      <c r="WY47" s="987"/>
      <c r="WZ47" s="987"/>
      <c r="XA47" s="987"/>
      <c r="XB47" s="987"/>
      <c r="XC47" s="987"/>
      <c r="XD47" s="987"/>
      <c r="XE47" s="987"/>
      <c r="XF47" s="987"/>
      <c r="XG47" s="987"/>
      <c r="XH47" s="987"/>
      <c r="XI47" s="987"/>
      <c r="XJ47" s="987"/>
      <c r="XK47" s="987"/>
      <c r="XL47" s="987"/>
      <c r="XM47" s="987"/>
      <c r="XN47" s="987"/>
      <c r="XO47" s="987"/>
      <c r="XP47" s="987"/>
      <c r="XQ47" s="987"/>
      <c r="XR47" s="987"/>
      <c r="XS47" s="987"/>
      <c r="XT47" s="987"/>
      <c r="XU47" s="987"/>
      <c r="XV47" s="987"/>
      <c r="XW47" s="987"/>
      <c r="XX47" s="987"/>
      <c r="XY47" s="987"/>
      <c r="XZ47" s="987"/>
      <c r="YA47" s="987"/>
      <c r="YB47" s="987"/>
      <c r="YC47" s="987"/>
      <c r="YD47" s="987"/>
      <c r="YE47" s="987"/>
      <c r="YF47" s="987"/>
      <c r="YG47" s="987"/>
      <c r="YH47" s="987"/>
      <c r="YI47" s="987"/>
      <c r="YJ47" s="987"/>
      <c r="YK47" s="987"/>
      <c r="YL47" s="987"/>
      <c r="YM47" s="987"/>
      <c r="YN47" s="987"/>
      <c r="YO47" s="987"/>
      <c r="YP47" s="987"/>
      <c r="YQ47" s="987"/>
      <c r="YR47" s="987"/>
      <c r="YS47" s="987"/>
      <c r="YT47" s="987"/>
      <c r="YU47" s="987"/>
      <c r="YV47" s="987"/>
      <c r="YW47" s="987"/>
      <c r="YX47" s="987"/>
      <c r="YY47" s="987"/>
      <c r="YZ47" s="987"/>
      <c r="ZA47" s="987"/>
      <c r="ZB47" s="987"/>
      <c r="ZC47" s="987"/>
      <c r="ZD47" s="987"/>
      <c r="ZE47" s="987"/>
      <c r="ZF47" s="987"/>
      <c r="ZG47" s="987"/>
      <c r="ZH47" s="987"/>
      <c r="ZI47" s="987"/>
      <c r="ZJ47" s="987"/>
      <c r="ZK47" s="987"/>
      <c r="ZL47" s="987"/>
      <c r="ZM47" s="987"/>
      <c r="ZN47" s="987"/>
      <c r="ZO47" s="987"/>
      <c r="ZP47" s="987"/>
      <c r="ZQ47" s="987"/>
      <c r="ZR47" s="987"/>
      <c r="ZS47" s="987"/>
      <c r="ZT47" s="987"/>
      <c r="ZU47" s="987"/>
      <c r="ZV47" s="987"/>
      <c r="ZW47" s="987"/>
      <c r="ZX47" s="987"/>
      <c r="ZY47" s="987"/>
      <c r="ZZ47" s="987"/>
      <c r="AAA47" s="987"/>
      <c r="AAB47" s="987"/>
      <c r="AAC47" s="987"/>
      <c r="AAD47" s="987"/>
      <c r="AAE47" s="987"/>
      <c r="AAF47" s="987"/>
      <c r="AAG47" s="987"/>
      <c r="AAH47" s="987"/>
      <c r="AAI47" s="987"/>
      <c r="AAJ47" s="987"/>
      <c r="AAK47" s="987"/>
      <c r="AAL47" s="987"/>
      <c r="AAM47" s="987"/>
      <c r="AAN47" s="987"/>
      <c r="AAO47" s="987"/>
      <c r="AAP47" s="987"/>
      <c r="AAQ47" s="987"/>
      <c r="AAR47" s="987"/>
      <c r="AAS47" s="987"/>
      <c r="AAT47" s="987"/>
      <c r="AAU47" s="987"/>
      <c r="AAV47" s="987"/>
      <c r="AAW47" s="987"/>
      <c r="AAX47" s="987"/>
      <c r="AAY47" s="987"/>
      <c r="AAZ47" s="987"/>
      <c r="ABA47" s="987"/>
      <c r="ABB47" s="987"/>
      <c r="ABC47" s="987"/>
      <c r="ABD47" s="987"/>
      <c r="ABE47" s="987"/>
      <c r="ABF47" s="987"/>
      <c r="ABG47" s="987"/>
      <c r="ABH47" s="987"/>
      <c r="ABI47" s="987"/>
      <c r="ABJ47" s="987"/>
      <c r="ABK47" s="987"/>
      <c r="ABL47" s="987"/>
      <c r="ABM47" s="987"/>
      <c r="ABN47" s="987"/>
      <c r="ABO47" s="987"/>
      <c r="ABP47" s="987"/>
      <c r="ABQ47" s="987"/>
      <c r="ABR47" s="987"/>
      <c r="ABS47" s="987"/>
      <c r="ABT47" s="987"/>
      <c r="ABU47" s="987"/>
      <c r="ABV47" s="987"/>
      <c r="ABW47" s="987"/>
      <c r="ABX47" s="987"/>
      <c r="ABY47" s="987"/>
      <c r="ABZ47" s="987"/>
      <c r="ACA47" s="987"/>
      <c r="ACB47" s="987"/>
      <c r="ACC47" s="987"/>
      <c r="ACD47" s="987"/>
      <c r="ACE47" s="987"/>
      <c r="ACF47" s="987"/>
      <c r="ACG47" s="987"/>
      <c r="ACH47" s="987"/>
      <c r="ACI47" s="987"/>
      <c r="ACJ47" s="987"/>
      <c r="ACK47" s="987"/>
      <c r="ACL47" s="987"/>
      <c r="ACM47" s="987"/>
      <c r="ACN47" s="987"/>
      <c r="ACO47" s="987"/>
      <c r="ACP47" s="987"/>
      <c r="ACQ47" s="987"/>
      <c r="ACR47" s="987"/>
      <c r="ACS47" s="987"/>
      <c r="ACT47" s="987"/>
      <c r="ACU47" s="987"/>
      <c r="ACV47" s="987"/>
      <c r="ACW47" s="987"/>
      <c r="ACX47" s="987"/>
      <c r="ACY47" s="987"/>
      <c r="ACZ47" s="987"/>
      <c r="ADA47" s="987"/>
      <c r="ADB47" s="987"/>
      <c r="ADC47" s="987"/>
      <c r="ADD47" s="987"/>
      <c r="ADE47" s="987"/>
      <c r="ADF47" s="987"/>
      <c r="ADG47" s="987"/>
      <c r="ADH47" s="987"/>
      <c r="ADI47" s="987"/>
      <c r="ADJ47" s="987"/>
      <c r="ADK47" s="987"/>
      <c r="ADL47" s="987"/>
      <c r="ADM47" s="987"/>
      <c r="ADN47" s="987"/>
      <c r="ADO47" s="987"/>
      <c r="ADP47" s="987"/>
      <c r="ADQ47" s="987"/>
      <c r="ADR47" s="987"/>
      <c r="ADS47" s="987"/>
      <c r="ADT47" s="987"/>
      <c r="ADU47" s="987"/>
      <c r="ADV47" s="987"/>
      <c r="ADW47" s="987"/>
      <c r="ADX47" s="987"/>
      <c r="ADY47" s="987"/>
      <c r="ADZ47" s="987"/>
      <c r="AEA47" s="987"/>
      <c r="AEB47" s="987"/>
      <c r="AEC47" s="987"/>
      <c r="AED47" s="987"/>
      <c r="AEE47" s="987"/>
      <c r="AEF47" s="987"/>
      <c r="AEG47" s="987"/>
      <c r="AEH47" s="987"/>
      <c r="AEI47" s="987"/>
      <c r="AEJ47" s="987"/>
      <c r="AEK47" s="987"/>
      <c r="AEL47" s="987"/>
      <c r="AEM47" s="987"/>
      <c r="AEN47" s="987"/>
      <c r="AEO47" s="987"/>
      <c r="AEP47" s="987"/>
      <c r="AEQ47" s="987"/>
      <c r="AER47" s="987"/>
      <c r="AES47" s="987"/>
      <c r="AET47" s="987"/>
      <c r="AEU47" s="987"/>
      <c r="AEV47" s="987"/>
      <c r="AEW47" s="987"/>
      <c r="AEX47" s="987"/>
      <c r="AEY47" s="987"/>
      <c r="AEZ47" s="987"/>
      <c r="AFA47" s="987"/>
      <c r="AFB47" s="987"/>
      <c r="AFC47" s="987"/>
      <c r="AFD47" s="987"/>
      <c r="AFE47" s="987"/>
      <c r="AFF47" s="987"/>
      <c r="AFG47" s="987"/>
      <c r="AFH47" s="987"/>
      <c r="AFI47" s="987"/>
      <c r="AFJ47" s="987"/>
      <c r="AFK47" s="987"/>
      <c r="AFL47" s="987"/>
      <c r="AFM47" s="987"/>
      <c r="AFN47" s="987"/>
      <c r="AFO47" s="987"/>
      <c r="AFP47" s="987"/>
      <c r="AFQ47" s="987"/>
      <c r="AFR47" s="987"/>
      <c r="AFS47" s="987"/>
      <c r="AFT47" s="987"/>
      <c r="AFU47" s="987"/>
      <c r="AFV47" s="987"/>
      <c r="AFW47" s="987"/>
      <c r="AFX47" s="987"/>
      <c r="AFY47" s="987"/>
      <c r="AFZ47" s="987"/>
      <c r="AGA47" s="987"/>
      <c r="AGB47" s="987"/>
      <c r="AGC47" s="987"/>
      <c r="AGD47" s="987"/>
      <c r="AGE47" s="987"/>
      <c r="AGF47" s="987"/>
      <c r="AGG47" s="987"/>
      <c r="AGH47" s="987"/>
      <c r="AGI47" s="987"/>
      <c r="AGJ47" s="987"/>
      <c r="AGK47" s="987"/>
      <c r="AGL47" s="987"/>
      <c r="AGM47" s="987"/>
      <c r="AGN47" s="987"/>
      <c r="AGO47" s="987"/>
      <c r="AGP47" s="987"/>
      <c r="AGQ47" s="987"/>
      <c r="AGR47" s="987"/>
      <c r="AGS47" s="987"/>
      <c r="AGT47" s="987"/>
      <c r="AGU47" s="987"/>
      <c r="AGV47" s="987"/>
      <c r="AGW47" s="987"/>
      <c r="AGX47" s="987"/>
      <c r="AGY47" s="987"/>
      <c r="AGZ47" s="987"/>
      <c r="AHA47" s="987"/>
      <c r="AHB47" s="987"/>
      <c r="AHC47" s="987"/>
      <c r="AHD47" s="987"/>
      <c r="AHE47" s="987"/>
      <c r="AHF47" s="987"/>
      <c r="AHG47" s="987"/>
      <c r="AHH47" s="987"/>
      <c r="AHI47" s="987"/>
      <c r="AHJ47" s="987"/>
      <c r="AHK47" s="987"/>
      <c r="AHL47" s="987"/>
      <c r="AHM47" s="987"/>
      <c r="AHN47" s="987"/>
      <c r="AHO47" s="987"/>
      <c r="AHP47" s="987"/>
      <c r="AHQ47" s="987"/>
      <c r="AHR47" s="987"/>
      <c r="AHS47" s="987"/>
      <c r="AHT47" s="987"/>
      <c r="AHU47" s="987"/>
      <c r="AHV47" s="987"/>
      <c r="AHW47" s="987"/>
      <c r="AHX47" s="987"/>
      <c r="AHY47" s="987"/>
      <c r="AHZ47" s="987"/>
      <c r="AIA47" s="987"/>
      <c r="AIB47" s="987"/>
      <c r="AIC47" s="987"/>
      <c r="AID47" s="987"/>
      <c r="AIE47" s="987"/>
      <c r="AIF47" s="987"/>
      <c r="AIG47" s="987"/>
      <c r="AIH47" s="987"/>
      <c r="AII47" s="987"/>
      <c r="AIJ47" s="987"/>
      <c r="AIK47" s="987"/>
      <c r="AIL47" s="987"/>
      <c r="AIM47" s="987"/>
      <c r="AIN47" s="987"/>
      <c r="AIO47" s="987"/>
      <c r="AIP47" s="987"/>
      <c r="AIQ47" s="987"/>
      <c r="AIR47" s="987"/>
      <c r="AIS47" s="987"/>
      <c r="AIT47" s="987"/>
      <c r="AIU47" s="987"/>
      <c r="AIV47" s="987"/>
      <c r="AIW47" s="987"/>
      <c r="AIX47" s="987"/>
      <c r="AIY47" s="987"/>
      <c r="AIZ47" s="987"/>
      <c r="AJA47" s="987"/>
      <c r="AJB47" s="987"/>
      <c r="AJC47" s="987"/>
      <c r="AJD47" s="987"/>
      <c r="AJE47" s="987"/>
      <c r="AJF47" s="987"/>
      <c r="AJG47" s="987"/>
      <c r="AJH47" s="987"/>
      <c r="AJI47" s="987"/>
      <c r="AJJ47" s="987"/>
      <c r="AJK47" s="987"/>
      <c r="AJL47" s="987"/>
      <c r="AJM47" s="987"/>
      <c r="AJN47" s="987"/>
      <c r="AJO47" s="987"/>
      <c r="AJP47" s="987"/>
      <c r="AJQ47" s="987"/>
      <c r="AJR47" s="987"/>
      <c r="AJS47" s="987"/>
      <c r="AJT47" s="987"/>
      <c r="AJU47" s="987"/>
      <c r="AJV47" s="987"/>
      <c r="AJW47" s="987"/>
      <c r="AJX47" s="987"/>
      <c r="AJY47" s="987"/>
      <c r="AJZ47" s="987"/>
      <c r="AKA47" s="987"/>
      <c r="AKB47" s="987"/>
      <c r="AKC47" s="987"/>
      <c r="AKD47" s="987"/>
      <c r="AKE47" s="987"/>
      <c r="AKF47" s="987"/>
      <c r="AKG47" s="987"/>
      <c r="AKH47" s="987"/>
      <c r="AKI47" s="987"/>
      <c r="AKJ47" s="987"/>
      <c r="AKK47" s="987"/>
      <c r="AKL47" s="987"/>
      <c r="AKM47" s="987"/>
      <c r="AKN47" s="987"/>
      <c r="AKO47" s="987"/>
      <c r="AKP47" s="987"/>
      <c r="AKQ47" s="987"/>
      <c r="AKR47" s="987"/>
      <c r="AKS47" s="987"/>
      <c r="AKT47" s="987"/>
      <c r="AKU47" s="987"/>
      <c r="AKV47" s="987"/>
      <c r="AKW47" s="987"/>
      <c r="AKX47" s="987"/>
      <c r="AKY47" s="987"/>
      <c r="AKZ47" s="987"/>
      <c r="ALA47" s="987"/>
      <c r="ALB47" s="987"/>
      <c r="ALC47" s="987"/>
      <c r="ALD47" s="987"/>
      <c r="ALE47" s="987"/>
      <c r="ALF47" s="987"/>
      <c r="ALG47" s="987"/>
      <c r="ALH47" s="987"/>
      <c r="ALI47" s="987"/>
      <c r="ALJ47" s="987"/>
      <c r="ALK47" s="987"/>
      <c r="ALL47" s="987"/>
      <c r="ALM47" s="987"/>
      <c r="ALN47" s="987"/>
      <c r="ALO47" s="987"/>
      <c r="ALP47" s="987"/>
      <c r="ALQ47" s="987"/>
      <c r="ALR47" s="987"/>
      <c r="ALS47" s="987"/>
      <c r="ALT47" s="987"/>
      <c r="ALU47" s="987"/>
      <c r="ALV47" s="987"/>
      <c r="ALW47" s="987"/>
      <c r="ALX47" s="987"/>
      <c r="ALY47" s="987"/>
      <c r="ALZ47" s="987"/>
      <c r="AMA47" s="987"/>
      <c r="AMB47" s="987"/>
      <c r="AMC47" s="987"/>
      <c r="AMD47" s="987"/>
      <c r="AME47" s="987"/>
      <c r="AMF47" s="987"/>
      <c r="AMG47" s="987"/>
      <c r="AMH47" s="987"/>
      <c r="AMI47" s="987"/>
      <c r="AMJ47" s="987"/>
      <c r="AMK47" s="987"/>
      <c r="AML47" s="987"/>
      <c r="AMM47" s="987"/>
      <c r="AMN47" s="987"/>
      <c r="AMO47" s="987"/>
      <c r="AMP47" s="987"/>
      <c r="AMQ47" s="987"/>
      <c r="AMR47" s="987"/>
      <c r="AMS47" s="987"/>
      <c r="AMT47" s="987"/>
      <c r="AMU47" s="987"/>
      <c r="AMV47" s="987"/>
      <c r="AMW47" s="987"/>
      <c r="AMX47" s="987"/>
      <c r="AMY47" s="987"/>
      <c r="AMZ47" s="987"/>
      <c r="ANA47" s="987"/>
      <c r="ANB47" s="987"/>
      <c r="ANC47" s="987"/>
      <c r="AND47" s="987"/>
      <c r="ANE47" s="987"/>
      <c r="ANF47" s="987"/>
      <c r="ANG47" s="987"/>
      <c r="ANH47" s="987"/>
      <c r="ANI47" s="987"/>
      <c r="ANJ47" s="987"/>
      <c r="ANK47" s="987"/>
      <c r="ANL47" s="987"/>
      <c r="ANM47" s="987"/>
      <c r="ANN47" s="987"/>
      <c r="ANO47" s="987"/>
      <c r="ANP47" s="987"/>
      <c r="ANQ47" s="987"/>
      <c r="ANR47" s="987"/>
      <c r="ANS47" s="987"/>
      <c r="ANT47" s="987"/>
      <c r="ANU47" s="987"/>
      <c r="ANV47" s="987"/>
      <c r="ANW47" s="987"/>
      <c r="ANX47" s="987"/>
      <c r="ANY47" s="987"/>
      <c r="ANZ47" s="987"/>
      <c r="AOA47" s="987"/>
      <c r="AOB47" s="987"/>
      <c r="AOC47" s="987"/>
      <c r="AOD47" s="987"/>
      <c r="AOE47" s="987"/>
      <c r="AOF47" s="987"/>
      <c r="AOG47" s="987"/>
      <c r="AOH47" s="987"/>
      <c r="AOI47" s="987"/>
      <c r="AOJ47" s="987"/>
      <c r="AOK47" s="987"/>
      <c r="AOL47" s="987"/>
      <c r="AOM47" s="987"/>
      <c r="AON47" s="987"/>
      <c r="AOO47" s="987"/>
      <c r="AOP47" s="987"/>
      <c r="AOQ47" s="987"/>
      <c r="AOR47" s="987"/>
      <c r="AOS47" s="987"/>
      <c r="AOT47" s="987"/>
      <c r="AOU47" s="987"/>
      <c r="AOV47" s="987"/>
      <c r="AOW47" s="987"/>
      <c r="AOX47" s="987"/>
      <c r="AOY47" s="987"/>
      <c r="AOZ47" s="987"/>
      <c r="APA47" s="987"/>
      <c r="APB47" s="987"/>
      <c r="APC47" s="987"/>
      <c r="APD47" s="987"/>
      <c r="APE47" s="987"/>
      <c r="APF47" s="987"/>
      <c r="APG47" s="987"/>
      <c r="APH47" s="987"/>
      <c r="API47" s="987"/>
      <c r="APJ47" s="987"/>
      <c r="APK47" s="987"/>
      <c r="APL47" s="987"/>
      <c r="APM47" s="987"/>
      <c r="APN47" s="987"/>
      <c r="APO47" s="987"/>
      <c r="APP47" s="987"/>
      <c r="APQ47" s="987"/>
      <c r="APR47" s="987"/>
      <c r="APS47" s="987"/>
      <c r="APT47" s="987"/>
      <c r="APU47" s="987"/>
      <c r="APV47" s="987"/>
      <c r="APW47" s="987"/>
      <c r="APX47" s="987"/>
      <c r="APY47" s="987"/>
      <c r="APZ47" s="987"/>
      <c r="AQA47" s="987"/>
      <c r="AQB47" s="987"/>
      <c r="AQC47" s="987"/>
      <c r="AQD47" s="987"/>
      <c r="AQE47" s="987"/>
      <c r="AQF47" s="987"/>
      <c r="AQG47" s="987"/>
      <c r="AQH47" s="987"/>
      <c r="AQI47" s="987"/>
      <c r="AQJ47" s="987"/>
      <c r="AQK47" s="987"/>
      <c r="AQL47" s="987"/>
      <c r="AQM47" s="987"/>
      <c r="AQN47" s="987"/>
      <c r="AQO47" s="987"/>
      <c r="AQP47" s="987"/>
      <c r="AQQ47" s="987"/>
      <c r="AQR47" s="987"/>
      <c r="AQS47" s="987"/>
      <c r="AQT47" s="987"/>
      <c r="AQU47" s="987"/>
      <c r="AQV47" s="987"/>
      <c r="AQW47" s="987"/>
      <c r="AQX47" s="987"/>
      <c r="AQY47" s="987"/>
      <c r="AQZ47" s="987"/>
      <c r="ARA47" s="987"/>
      <c r="ARB47" s="987"/>
      <c r="ARC47" s="987"/>
      <c r="ARD47" s="987"/>
      <c r="ARE47" s="987"/>
      <c r="ARF47" s="987"/>
      <c r="ARG47" s="987"/>
      <c r="ARH47" s="987"/>
      <c r="ARI47" s="987"/>
      <c r="ARJ47" s="987"/>
      <c r="ARK47" s="987"/>
      <c r="ARL47" s="987"/>
      <c r="ARM47" s="987"/>
      <c r="ARN47" s="987"/>
      <c r="ARO47" s="987"/>
      <c r="ARP47" s="987"/>
      <c r="ARQ47" s="987"/>
      <c r="ARR47" s="987"/>
      <c r="ARS47" s="987"/>
      <c r="ART47" s="987"/>
      <c r="ARU47" s="987"/>
      <c r="ARV47" s="987"/>
      <c r="ARW47" s="987"/>
      <c r="ARX47" s="987"/>
      <c r="ARY47" s="987"/>
      <c r="ARZ47" s="987"/>
      <c r="ASA47" s="987"/>
      <c r="ASB47" s="987"/>
      <c r="ASC47" s="987"/>
      <c r="ASD47" s="987"/>
      <c r="ASE47" s="987"/>
      <c r="ASF47" s="987"/>
      <c r="ASG47" s="987"/>
      <c r="ASH47" s="987"/>
      <c r="ASI47" s="987"/>
      <c r="ASJ47" s="987"/>
      <c r="ASK47" s="987"/>
      <c r="ASL47" s="987"/>
      <c r="ASM47" s="987"/>
      <c r="ASN47" s="987"/>
      <c r="ASO47" s="987"/>
      <c r="ASP47" s="987"/>
      <c r="ASQ47" s="987"/>
      <c r="ASR47" s="987"/>
      <c r="ASS47" s="987"/>
      <c r="AST47" s="987"/>
      <c r="ASU47" s="987"/>
      <c r="ASV47" s="987"/>
      <c r="ASW47" s="987"/>
      <c r="ASX47" s="987"/>
      <c r="ASY47" s="987"/>
      <c r="ASZ47" s="987"/>
      <c r="ATA47" s="987"/>
      <c r="ATB47" s="987"/>
      <c r="ATC47" s="987"/>
      <c r="ATD47" s="987"/>
      <c r="ATE47" s="987"/>
      <c r="ATF47" s="987"/>
      <c r="ATG47" s="987"/>
      <c r="ATH47" s="987"/>
      <c r="ATI47" s="987"/>
      <c r="ATJ47" s="987"/>
      <c r="ATK47" s="987"/>
      <c r="ATL47" s="987"/>
      <c r="ATM47" s="987"/>
      <c r="ATN47" s="987"/>
      <c r="ATO47" s="987"/>
      <c r="ATP47" s="987"/>
      <c r="ATQ47" s="987"/>
      <c r="ATR47" s="987"/>
      <c r="ATS47" s="987"/>
      <c r="ATT47" s="987"/>
      <c r="ATU47" s="987"/>
      <c r="ATV47" s="987"/>
      <c r="ATW47" s="987"/>
      <c r="ATX47" s="987"/>
      <c r="ATY47" s="987"/>
      <c r="ATZ47" s="987"/>
      <c r="AUA47" s="987"/>
      <c r="AUB47" s="987"/>
      <c r="AUC47" s="987"/>
      <c r="AUD47" s="987"/>
      <c r="AUE47" s="987"/>
      <c r="AUF47" s="987"/>
      <c r="AUG47" s="987"/>
      <c r="AUH47" s="987"/>
      <c r="AUI47" s="987"/>
      <c r="AUJ47" s="987"/>
      <c r="AUK47" s="987"/>
      <c r="AUL47" s="987"/>
      <c r="AUM47" s="987"/>
      <c r="AUN47" s="987"/>
      <c r="AUO47" s="987"/>
      <c r="AUP47" s="987"/>
      <c r="AUQ47" s="987"/>
      <c r="AUR47" s="987"/>
      <c r="AUS47" s="987"/>
      <c r="AUT47" s="987"/>
      <c r="AUU47" s="987"/>
      <c r="AUV47" s="987"/>
      <c r="AUW47" s="987"/>
      <c r="AUX47" s="987"/>
      <c r="AUY47" s="987"/>
      <c r="AUZ47" s="987"/>
      <c r="AVA47" s="987"/>
      <c r="AVB47" s="987"/>
      <c r="AVC47" s="987"/>
      <c r="AVD47" s="987"/>
      <c r="AVE47" s="987"/>
      <c r="AVF47" s="987"/>
      <c r="AVG47" s="987"/>
      <c r="AVH47" s="987"/>
      <c r="AVI47" s="987"/>
      <c r="AVJ47" s="987"/>
      <c r="AVK47" s="987"/>
      <c r="AVL47" s="987"/>
      <c r="AVM47" s="987"/>
      <c r="AVN47" s="987"/>
      <c r="AVO47" s="987"/>
      <c r="AVP47" s="987"/>
      <c r="AVQ47" s="987"/>
      <c r="AVR47" s="987"/>
      <c r="AVS47" s="987"/>
      <c r="AVT47" s="987"/>
      <c r="AVU47" s="987"/>
      <c r="AVV47" s="987"/>
      <c r="AVW47" s="987"/>
      <c r="AVX47" s="987"/>
      <c r="AVY47" s="987"/>
      <c r="AVZ47" s="987"/>
      <c r="AWA47" s="987"/>
      <c r="AWB47" s="987"/>
      <c r="AWC47" s="987"/>
      <c r="AWD47" s="987"/>
      <c r="AWE47" s="987"/>
      <c r="AWF47" s="987"/>
      <c r="AWG47" s="987"/>
      <c r="AWH47" s="987"/>
      <c r="AWI47" s="987"/>
      <c r="AWJ47" s="987"/>
      <c r="AWK47" s="987"/>
      <c r="AWL47" s="987"/>
      <c r="AWM47" s="987"/>
      <c r="AWN47" s="987"/>
      <c r="AWO47" s="987"/>
      <c r="AWP47" s="987"/>
      <c r="AWQ47" s="987"/>
      <c r="AWR47" s="987"/>
      <c r="AWS47" s="987"/>
      <c r="AWT47" s="987"/>
      <c r="AWU47" s="987"/>
      <c r="AWV47" s="987"/>
      <c r="AWW47" s="987"/>
      <c r="AWX47" s="987"/>
      <c r="AWY47" s="987"/>
      <c r="AWZ47" s="987"/>
      <c r="AXA47" s="987"/>
      <c r="AXB47" s="987"/>
      <c r="AXC47" s="987"/>
      <c r="AXD47" s="987"/>
      <c r="AXE47" s="987"/>
      <c r="AXF47" s="987"/>
      <c r="AXG47" s="987"/>
      <c r="AXH47" s="987"/>
      <c r="AXI47" s="987"/>
      <c r="AXJ47" s="987"/>
      <c r="AXK47" s="987"/>
      <c r="AXL47" s="987"/>
      <c r="AXM47" s="987"/>
      <c r="AXN47" s="987"/>
      <c r="AXO47" s="987"/>
      <c r="AXP47" s="987"/>
      <c r="AXQ47" s="987"/>
      <c r="AXR47" s="987"/>
      <c r="AXS47" s="987"/>
      <c r="AXT47" s="987"/>
      <c r="AXU47" s="987"/>
      <c r="AXV47" s="987"/>
      <c r="AXW47" s="987"/>
      <c r="AXX47" s="987"/>
      <c r="AXY47" s="987"/>
      <c r="AXZ47" s="987"/>
      <c r="AYA47" s="987"/>
      <c r="AYB47" s="987"/>
      <c r="AYC47" s="987"/>
      <c r="AYD47" s="987"/>
      <c r="AYE47" s="987"/>
      <c r="AYF47" s="987"/>
      <c r="AYG47" s="987"/>
      <c r="AYH47" s="987"/>
      <c r="AYI47" s="987"/>
      <c r="AYJ47" s="987"/>
      <c r="AYK47" s="987"/>
      <c r="AYL47" s="987"/>
      <c r="AYM47" s="987"/>
      <c r="AYN47" s="987"/>
      <c r="AYO47" s="987"/>
      <c r="AYP47" s="987"/>
      <c r="AYQ47" s="987"/>
      <c r="AYR47" s="987"/>
      <c r="AYS47" s="987"/>
      <c r="AYT47" s="987"/>
      <c r="AYU47" s="987"/>
      <c r="AYV47" s="987"/>
      <c r="AYW47" s="987"/>
      <c r="AYX47" s="987"/>
      <c r="AYY47" s="987"/>
      <c r="AYZ47" s="987"/>
      <c r="AZA47" s="987"/>
      <c r="AZB47" s="987"/>
      <c r="AZC47" s="987"/>
      <c r="AZD47" s="987"/>
      <c r="AZE47" s="987"/>
      <c r="AZF47" s="987"/>
      <c r="AZG47" s="987"/>
      <c r="AZH47" s="987"/>
      <c r="AZI47" s="987"/>
      <c r="AZJ47" s="987"/>
      <c r="AZK47" s="987"/>
      <c r="AZL47" s="987"/>
      <c r="AZM47" s="987"/>
      <c r="AZN47" s="987"/>
      <c r="AZO47" s="987"/>
      <c r="AZP47" s="987"/>
      <c r="AZQ47" s="987"/>
      <c r="AZR47" s="987"/>
      <c r="AZS47" s="987"/>
      <c r="AZT47" s="987"/>
      <c r="AZU47" s="987"/>
      <c r="AZV47" s="987"/>
      <c r="AZW47" s="987"/>
      <c r="AZX47" s="987"/>
      <c r="AZY47" s="987"/>
      <c r="AZZ47" s="987"/>
      <c r="BAA47" s="987"/>
      <c r="BAB47" s="987"/>
      <c r="BAC47" s="987"/>
      <c r="BAD47" s="987"/>
      <c r="BAE47" s="987"/>
      <c r="BAF47" s="987"/>
      <c r="BAG47" s="987"/>
      <c r="BAH47" s="987"/>
      <c r="BAI47" s="987"/>
      <c r="BAJ47" s="987"/>
      <c r="BAK47" s="987"/>
      <c r="BAL47" s="987"/>
      <c r="BAM47" s="987"/>
      <c r="BAN47" s="987"/>
      <c r="BAO47" s="987"/>
      <c r="BAP47" s="987"/>
      <c r="BAQ47" s="987"/>
      <c r="BAR47" s="987"/>
      <c r="BAS47" s="987"/>
      <c r="BAT47" s="987"/>
      <c r="BAU47" s="987"/>
      <c r="BAV47" s="987"/>
      <c r="BAW47" s="987"/>
      <c r="BAX47" s="987"/>
      <c r="BAY47" s="987"/>
      <c r="BAZ47" s="987"/>
      <c r="BBA47" s="987"/>
      <c r="BBB47" s="987"/>
      <c r="BBC47" s="987"/>
      <c r="BBD47" s="987"/>
      <c r="BBE47" s="987"/>
      <c r="BBF47" s="987"/>
      <c r="BBG47" s="987"/>
      <c r="BBH47" s="987"/>
      <c r="BBI47" s="987"/>
      <c r="BBJ47" s="987"/>
      <c r="BBK47" s="987"/>
      <c r="BBL47" s="987"/>
      <c r="BBM47" s="987"/>
      <c r="BBN47" s="987"/>
      <c r="BBO47" s="987"/>
      <c r="BBP47" s="987"/>
      <c r="BBQ47" s="987"/>
      <c r="BBR47" s="987"/>
      <c r="BBS47" s="987"/>
      <c r="BBT47" s="987"/>
      <c r="BBU47" s="987"/>
      <c r="BBV47" s="987"/>
      <c r="BBW47" s="987"/>
      <c r="BBX47" s="987"/>
      <c r="BBY47" s="987"/>
      <c r="BBZ47" s="987"/>
      <c r="BCA47" s="987"/>
      <c r="BCB47" s="987"/>
      <c r="BCC47" s="987"/>
      <c r="BCD47" s="987"/>
      <c r="BCE47" s="987"/>
      <c r="BCF47" s="987"/>
      <c r="BCG47" s="987"/>
      <c r="BCH47" s="987"/>
      <c r="BCI47" s="987"/>
      <c r="BCJ47" s="987"/>
      <c r="BCK47" s="987"/>
      <c r="BCL47" s="987"/>
      <c r="BCM47" s="987"/>
      <c r="BCN47" s="987"/>
      <c r="BCO47" s="987"/>
      <c r="BCP47" s="987"/>
      <c r="BCQ47" s="987"/>
      <c r="BCR47" s="987"/>
      <c r="BCS47" s="987"/>
      <c r="BCT47" s="987"/>
      <c r="BCU47" s="987"/>
      <c r="BCV47" s="987"/>
      <c r="BCW47" s="987"/>
      <c r="BCX47" s="987"/>
      <c r="BCY47" s="987"/>
      <c r="BCZ47" s="987"/>
      <c r="BDA47" s="987"/>
      <c r="BDB47" s="987"/>
      <c r="BDC47" s="987"/>
      <c r="BDD47" s="987"/>
      <c r="BDE47" s="987"/>
      <c r="BDF47" s="987"/>
      <c r="BDG47" s="987"/>
      <c r="BDH47" s="987"/>
      <c r="BDI47" s="987"/>
      <c r="BDJ47" s="987"/>
      <c r="BDK47" s="987"/>
      <c r="BDL47" s="987"/>
      <c r="BDM47" s="987"/>
      <c r="BDN47" s="987"/>
      <c r="BDO47" s="987"/>
      <c r="BDP47" s="987"/>
      <c r="BDQ47" s="987"/>
      <c r="BDR47" s="987"/>
      <c r="BDS47" s="987"/>
      <c r="BDT47" s="987"/>
      <c r="BDU47" s="987"/>
      <c r="BDV47" s="987"/>
      <c r="BDW47" s="987"/>
      <c r="BDX47" s="987"/>
      <c r="BDY47" s="987"/>
      <c r="BDZ47" s="987"/>
      <c r="BEA47" s="987"/>
      <c r="BEB47" s="987"/>
      <c r="BEC47" s="987"/>
      <c r="BED47" s="987"/>
      <c r="BEE47" s="987"/>
      <c r="BEF47" s="987"/>
      <c r="BEG47" s="987"/>
      <c r="BEH47" s="987"/>
      <c r="BEI47" s="987"/>
      <c r="BEJ47" s="987"/>
      <c r="BEK47" s="987"/>
      <c r="BEL47" s="987"/>
      <c r="BEM47" s="987"/>
      <c r="BEN47" s="987"/>
      <c r="BEO47" s="987"/>
      <c r="BEP47" s="987"/>
      <c r="BEQ47" s="987"/>
      <c r="BER47" s="987"/>
      <c r="BES47" s="987"/>
      <c r="BET47" s="987"/>
      <c r="BEU47" s="987"/>
      <c r="BEV47" s="987"/>
      <c r="BEW47" s="987"/>
      <c r="BEX47" s="987"/>
      <c r="BEY47" s="987"/>
      <c r="BEZ47" s="987"/>
      <c r="BFA47" s="987"/>
      <c r="BFB47" s="987"/>
      <c r="BFC47" s="987"/>
      <c r="BFD47" s="987"/>
      <c r="BFE47" s="987"/>
      <c r="BFF47" s="987"/>
      <c r="BFG47" s="987"/>
      <c r="BFH47" s="987"/>
      <c r="BFI47" s="987"/>
      <c r="BFJ47" s="987"/>
      <c r="BFK47" s="987"/>
      <c r="BFL47" s="987"/>
      <c r="BFM47" s="987"/>
      <c r="BFN47" s="987"/>
      <c r="BFO47" s="987"/>
      <c r="BFP47" s="987"/>
      <c r="BFQ47" s="987"/>
      <c r="BFR47" s="987"/>
      <c r="BFS47" s="987"/>
      <c r="BFT47" s="987"/>
      <c r="BFU47" s="987"/>
      <c r="BFV47" s="987"/>
      <c r="BFW47" s="987"/>
      <c r="BFX47" s="987"/>
      <c r="BFY47" s="987"/>
      <c r="BFZ47" s="987"/>
      <c r="BGA47" s="987"/>
      <c r="BGB47" s="987"/>
      <c r="BGC47" s="987"/>
      <c r="BGD47" s="987"/>
      <c r="BGE47" s="987"/>
      <c r="BGF47" s="987"/>
      <c r="BGG47" s="987"/>
      <c r="BGH47" s="987"/>
      <c r="BGI47" s="987"/>
      <c r="BGJ47" s="987"/>
      <c r="BGK47" s="987"/>
      <c r="BGL47" s="987"/>
      <c r="BGM47" s="987"/>
      <c r="BGN47" s="987"/>
      <c r="BGO47" s="987"/>
      <c r="BGP47" s="987"/>
      <c r="BGQ47" s="987"/>
      <c r="BGR47" s="987"/>
      <c r="BGS47" s="987"/>
      <c r="BGT47" s="987"/>
      <c r="BGU47" s="987"/>
      <c r="BGV47" s="987"/>
      <c r="BGW47" s="987"/>
      <c r="BGX47" s="987"/>
      <c r="BGY47" s="987"/>
      <c r="BGZ47" s="987"/>
      <c r="BHA47" s="987"/>
      <c r="BHB47" s="987"/>
      <c r="BHC47" s="987"/>
      <c r="BHD47" s="987"/>
      <c r="BHE47" s="987"/>
      <c r="BHF47" s="987"/>
      <c r="BHG47" s="987"/>
      <c r="BHH47" s="987"/>
      <c r="BHI47" s="987"/>
      <c r="BHJ47" s="987"/>
      <c r="BHK47" s="987"/>
      <c r="BHL47" s="987"/>
      <c r="BHM47" s="987"/>
      <c r="BHN47" s="987"/>
      <c r="BHO47" s="987"/>
      <c r="BHP47" s="987"/>
      <c r="BHQ47" s="987"/>
      <c r="BHR47" s="987"/>
      <c r="BHS47" s="987"/>
      <c r="BHT47" s="987"/>
      <c r="BHU47" s="987"/>
      <c r="BHV47" s="987"/>
      <c r="BHW47" s="987"/>
      <c r="BHX47" s="987"/>
      <c r="BHY47" s="987"/>
      <c r="BHZ47" s="987"/>
      <c r="BIA47" s="987"/>
      <c r="BIB47" s="987"/>
      <c r="BIC47" s="987"/>
      <c r="BID47" s="987"/>
      <c r="BIE47" s="987"/>
      <c r="BIF47" s="987"/>
      <c r="BIG47" s="987"/>
      <c r="BIH47" s="987"/>
      <c r="BII47" s="987"/>
      <c r="BIJ47" s="987"/>
      <c r="BIK47" s="987"/>
      <c r="BIL47" s="987"/>
      <c r="BIM47" s="987"/>
      <c r="BIN47" s="987"/>
      <c r="BIO47" s="987"/>
      <c r="BIP47" s="987"/>
      <c r="BIQ47" s="987"/>
      <c r="BIR47" s="987"/>
      <c r="BIS47" s="987"/>
      <c r="BIT47" s="987"/>
      <c r="BIU47" s="987"/>
      <c r="BIV47" s="987"/>
      <c r="BIW47" s="987"/>
      <c r="BIX47" s="987"/>
      <c r="BIY47" s="987"/>
      <c r="BIZ47" s="987"/>
      <c r="BJA47" s="987"/>
      <c r="BJB47" s="987"/>
      <c r="BJC47" s="987"/>
      <c r="BJD47" s="987"/>
      <c r="BJE47" s="987"/>
      <c r="BJF47" s="987"/>
      <c r="BJG47" s="987"/>
      <c r="BJH47" s="987"/>
      <c r="BJI47" s="987"/>
      <c r="BJJ47" s="987"/>
      <c r="BJK47" s="987"/>
      <c r="BJL47" s="987"/>
      <c r="BJM47" s="987"/>
      <c r="BJN47" s="987"/>
      <c r="BJO47" s="987"/>
      <c r="BJP47" s="987"/>
      <c r="BJQ47" s="987"/>
      <c r="BJR47" s="987"/>
      <c r="BJS47" s="987"/>
      <c r="BJT47" s="987"/>
      <c r="BJU47" s="987"/>
      <c r="BJV47" s="987"/>
      <c r="BJW47" s="987"/>
      <c r="BJX47" s="987"/>
      <c r="BJY47" s="987"/>
      <c r="BJZ47" s="987"/>
      <c r="BKA47" s="987"/>
      <c r="BKB47" s="987"/>
      <c r="BKC47" s="987"/>
      <c r="BKD47" s="987"/>
      <c r="BKE47" s="987"/>
      <c r="BKF47" s="987"/>
      <c r="BKG47" s="987"/>
      <c r="BKH47" s="987"/>
      <c r="BKI47" s="987"/>
      <c r="BKJ47" s="987"/>
      <c r="BKK47" s="987"/>
      <c r="BKL47" s="987"/>
      <c r="BKM47" s="987"/>
      <c r="BKN47" s="987"/>
      <c r="BKO47" s="987"/>
      <c r="BKP47" s="987"/>
      <c r="BKQ47" s="987"/>
      <c r="BKR47" s="987"/>
      <c r="BKS47" s="987"/>
      <c r="BKT47" s="987"/>
      <c r="BKU47" s="987"/>
      <c r="BKV47" s="987"/>
      <c r="BKW47" s="987"/>
      <c r="BKX47" s="987"/>
      <c r="BKY47" s="987"/>
      <c r="BKZ47" s="987"/>
      <c r="BLA47" s="987"/>
      <c r="BLB47" s="987"/>
      <c r="BLC47" s="987"/>
      <c r="BLD47" s="987"/>
      <c r="BLE47" s="987"/>
      <c r="BLF47" s="987"/>
      <c r="BLG47" s="987"/>
      <c r="BLH47" s="987"/>
      <c r="BLI47" s="987"/>
      <c r="BLJ47" s="987"/>
      <c r="BLK47" s="987"/>
      <c r="BLL47" s="987"/>
      <c r="BLM47" s="987"/>
      <c r="BLN47" s="987"/>
      <c r="BLO47" s="987"/>
      <c r="BLP47" s="987"/>
      <c r="BLQ47" s="987"/>
      <c r="BLR47" s="987"/>
      <c r="BLS47" s="987"/>
      <c r="BLT47" s="987"/>
      <c r="BLU47" s="987"/>
      <c r="BLV47" s="987"/>
      <c r="BLW47" s="987"/>
      <c r="BLX47" s="987"/>
      <c r="BLY47" s="987"/>
      <c r="BLZ47" s="987"/>
      <c r="BMA47" s="987"/>
      <c r="BMB47" s="987"/>
      <c r="BMC47" s="987"/>
      <c r="BMD47" s="987"/>
      <c r="BME47" s="987"/>
      <c r="BMF47" s="987"/>
      <c r="BMG47" s="987"/>
      <c r="BMH47" s="987"/>
      <c r="BMI47" s="987"/>
      <c r="BMJ47" s="987"/>
      <c r="BMK47" s="987"/>
      <c r="BML47" s="987"/>
      <c r="BMM47" s="987"/>
      <c r="BMN47" s="987"/>
      <c r="BMO47" s="987"/>
      <c r="BMP47" s="987"/>
      <c r="BMQ47" s="987"/>
      <c r="BMR47" s="987"/>
      <c r="BMS47" s="987"/>
      <c r="BMT47" s="987"/>
      <c r="BMU47" s="987"/>
      <c r="BMV47" s="987"/>
      <c r="BMW47" s="987"/>
      <c r="BMX47" s="987"/>
      <c r="BMY47" s="987"/>
      <c r="BMZ47" s="987"/>
      <c r="BNA47" s="987"/>
      <c r="BNB47" s="987"/>
      <c r="BNC47" s="987"/>
      <c r="BND47" s="987"/>
      <c r="BNE47" s="987"/>
      <c r="BNF47" s="987"/>
      <c r="BNG47" s="987"/>
      <c r="BNH47" s="987"/>
      <c r="BNI47" s="987"/>
      <c r="BNJ47" s="987"/>
      <c r="BNK47" s="987"/>
      <c r="BNL47" s="987"/>
      <c r="BNM47" s="987"/>
      <c r="BNN47" s="987"/>
      <c r="BNO47" s="987"/>
      <c r="BNP47" s="987"/>
      <c r="BNQ47" s="987"/>
      <c r="BNR47" s="987"/>
      <c r="BNS47" s="987"/>
      <c r="BNT47" s="987"/>
      <c r="BNU47" s="987"/>
      <c r="BNV47" s="987"/>
      <c r="BNW47" s="987"/>
      <c r="BNX47" s="987"/>
      <c r="BNY47" s="987"/>
      <c r="BNZ47" s="987"/>
      <c r="BOA47" s="987"/>
      <c r="BOB47" s="987"/>
      <c r="BOC47" s="987"/>
      <c r="BOD47" s="987"/>
      <c r="BOE47" s="987"/>
      <c r="BOF47" s="987"/>
      <c r="BOG47" s="987"/>
      <c r="BOH47" s="987"/>
      <c r="BOI47" s="987"/>
      <c r="BOJ47" s="987"/>
      <c r="BOK47" s="987"/>
      <c r="BOL47" s="987"/>
      <c r="BOM47" s="987"/>
      <c r="BON47" s="987"/>
      <c r="BOO47" s="987"/>
      <c r="BOP47" s="987"/>
      <c r="BOQ47" s="987"/>
      <c r="BOR47" s="987"/>
      <c r="BOS47" s="987"/>
      <c r="BOT47" s="987"/>
      <c r="BOU47" s="987"/>
      <c r="BOV47" s="987"/>
      <c r="BOW47" s="987"/>
      <c r="BOX47" s="987"/>
      <c r="BOY47" s="987"/>
      <c r="BOZ47" s="987"/>
      <c r="BPA47" s="987"/>
      <c r="BPB47" s="987"/>
      <c r="BPC47" s="987"/>
      <c r="BPD47" s="987"/>
      <c r="BPE47" s="987"/>
      <c r="BPF47" s="987"/>
      <c r="BPG47" s="987"/>
      <c r="BPH47" s="987"/>
      <c r="BPI47" s="987"/>
      <c r="BPJ47" s="987"/>
      <c r="BPK47" s="987"/>
      <c r="BPL47" s="987"/>
      <c r="BPM47" s="987"/>
      <c r="BPN47" s="987"/>
      <c r="BPO47" s="987"/>
      <c r="BPP47" s="987"/>
      <c r="BPQ47" s="987"/>
      <c r="BPR47" s="987"/>
      <c r="BPS47" s="987"/>
      <c r="BPT47" s="987"/>
      <c r="BPU47" s="987"/>
      <c r="BPV47" s="987"/>
      <c r="BPW47" s="987"/>
      <c r="BPX47" s="987"/>
      <c r="BPY47" s="987"/>
      <c r="BPZ47" s="987"/>
      <c r="BQA47" s="987"/>
      <c r="BQB47" s="987"/>
      <c r="BQC47" s="987"/>
      <c r="BQD47" s="987"/>
      <c r="BQE47" s="987"/>
      <c r="BQF47" s="987"/>
      <c r="BQG47" s="987"/>
      <c r="BQH47" s="987"/>
      <c r="BQI47" s="987"/>
      <c r="BQJ47" s="987"/>
      <c r="BQK47" s="987"/>
      <c r="BQL47" s="987"/>
      <c r="BQM47" s="987"/>
      <c r="BQN47" s="987"/>
      <c r="BQO47" s="987"/>
      <c r="BQP47" s="987"/>
      <c r="BQQ47" s="987"/>
      <c r="BQR47" s="987"/>
      <c r="BQS47" s="987"/>
      <c r="BQT47" s="987"/>
      <c r="BQU47" s="987"/>
      <c r="BQV47" s="987"/>
      <c r="BQW47" s="987"/>
      <c r="BQX47" s="987"/>
      <c r="BQY47" s="987"/>
      <c r="BQZ47" s="987"/>
      <c r="BRA47" s="987"/>
      <c r="BRB47" s="987"/>
      <c r="BRC47" s="987"/>
      <c r="BRD47" s="987"/>
      <c r="BRE47" s="987"/>
      <c r="BRF47" s="987"/>
      <c r="BRG47" s="987"/>
      <c r="BRH47" s="987"/>
      <c r="BRI47" s="987"/>
      <c r="BRJ47" s="987"/>
      <c r="BRK47" s="987"/>
      <c r="BRL47" s="987"/>
      <c r="BRM47" s="987"/>
      <c r="BRN47" s="987"/>
      <c r="BRO47" s="987"/>
      <c r="BRP47" s="987"/>
      <c r="BRQ47" s="987"/>
      <c r="BRR47" s="987"/>
      <c r="BRS47" s="987"/>
      <c r="BRT47" s="987"/>
      <c r="BRU47" s="987"/>
      <c r="BRV47" s="987"/>
      <c r="BRW47" s="987"/>
      <c r="BRX47" s="987"/>
      <c r="BRY47" s="987"/>
      <c r="BRZ47" s="987"/>
      <c r="BSA47" s="987"/>
      <c r="BSB47" s="987"/>
      <c r="BSC47" s="987"/>
      <c r="BSD47" s="987"/>
      <c r="BSE47" s="987"/>
      <c r="BSF47" s="987"/>
      <c r="BSG47" s="987"/>
      <c r="BSH47" s="987"/>
      <c r="BSI47" s="987"/>
      <c r="BSJ47" s="987"/>
      <c r="BSK47" s="987"/>
      <c r="BSL47" s="987"/>
      <c r="BSM47" s="987"/>
      <c r="BSN47" s="987"/>
      <c r="BSO47" s="987"/>
      <c r="BSP47" s="987"/>
      <c r="BSQ47" s="987"/>
      <c r="BSR47" s="987"/>
      <c r="BSS47" s="987"/>
      <c r="BST47" s="987"/>
      <c r="BSU47" s="987"/>
      <c r="BSV47" s="987"/>
      <c r="BSW47" s="987"/>
      <c r="BSX47" s="987"/>
      <c r="BSY47" s="987"/>
      <c r="BSZ47" s="987"/>
      <c r="BTA47" s="987"/>
      <c r="BTB47" s="987"/>
      <c r="BTC47" s="987"/>
      <c r="BTD47" s="987"/>
      <c r="BTE47" s="987"/>
      <c r="BTF47" s="987"/>
      <c r="BTG47" s="987"/>
      <c r="BTH47" s="987"/>
      <c r="BTI47" s="987"/>
      <c r="BTJ47" s="987"/>
      <c r="BTK47" s="987"/>
      <c r="BTL47" s="987"/>
      <c r="BTM47" s="987"/>
      <c r="BTN47" s="987"/>
      <c r="BTO47" s="987"/>
      <c r="BTP47" s="987"/>
      <c r="BTQ47" s="987"/>
      <c r="BTR47" s="987"/>
      <c r="BTS47" s="987"/>
      <c r="BTT47" s="987"/>
      <c r="BTU47" s="987"/>
      <c r="BTV47" s="987"/>
      <c r="BTW47" s="987"/>
      <c r="BTX47" s="987"/>
      <c r="BTY47" s="987"/>
      <c r="BTZ47" s="987"/>
      <c r="BUA47" s="987"/>
      <c r="BUB47" s="987"/>
      <c r="BUC47" s="987"/>
      <c r="BUD47" s="987"/>
      <c r="BUE47" s="987"/>
      <c r="BUF47" s="987"/>
      <c r="BUG47" s="987"/>
      <c r="BUH47" s="987"/>
      <c r="BUI47" s="987"/>
      <c r="BUJ47" s="987"/>
      <c r="BUK47" s="987"/>
      <c r="BUL47" s="987"/>
      <c r="BUM47" s="987"/>
      <c r="BUN47" s="987"/>
      <c r="BUO47" s="987"/>
      <c r="BUP47" s="987"/>
      <c r="BUQ47" s="987"/>
      <c r="BUR47" s="987"/>
      <c r="BUS47" s="987"/>
      <c r="BUT47" s="987"/>
      <c r="BUU47" s="987"/>
      <c r="BUV47" s="987"/>
      <c r="BUW47" s="987"/>
      <c r="BUX47" s="987"/>
      <c r="BUY47" s="987"/>
      <c r="BUZ47" s="987"/>
      <c r="BVA47" s="987"/>
      <c r="BVB47" s="987"/>
      <c r="BVC47" s="987"/>
      <c r="BVD47" s="987"/>
      <c r="BVE47" s="987"/>
      <c r="BVF47" s="987"/>
      <c r="BVG47" s="987"/>
      <c r="BVH47" s="987"/>
      <c r="BVI47" s="987"/>
      <c r="BVJ47" s="987"/>
      <c r="BVK47" s="987"/>
      <c r="BVL47" s="987"/>
      <c r="BVM47" s="987"/>
      <c r="BVN47" s="987"/>
      <c r="BVO47" s="987"/>
      <c r="BVP47" s="987"/>
      <c r="BVQ47" s="987"/>
      <c r="BVR47" s="987"/>
      <c r="BVS47" s="987"/>
      <c r="BVT47" s="987"/>
      <c r="BVU47" s="987"/>
      <c r="BVV47" s="987"/>
      <c r="BVW47" s="987"/>
      <c r="BVX47" s="987"/>
      <c r="BVY47" s="987"/>
      <c r="BVZ47" s="987"/>
      <c r="BWA47" s="987"/>
      <c r="BWB47" s="987"/>
      <c r="BWC47" s="987"/>
      <c r="BWD47" s="987"/>
      <c r="BWE47" s="987"/>
      <c r="BWF47" s="987"/>
      <c r="BWG47" s="987"/>
      <c r="BWH47" s="987"/>
      <c r="BWI47" s="987"/>
      <c r="BWJ47" s="987"/>
      <c r="BWK47" s="987"/>
      <c r="BWL47" s="987"/>
      <c r="BWM47" s="987"/>
      <c r="BWN47" s="987"/>
      <c r="BWO47" s="987"/>
      <c r="BWP47" s="987"/>
      <c r="BWQ47" s="987"/>
      <c r="BWR47" s="987"/>
      <c r="BWS47" s="987"/>
      <c r="BWT47" s="987"/>
      <c r="BWU47" s="987"/>
      <c r="BWV47" s="987"/>
      <c r="BWW47" s="987"/>
      <c r="BWX47" s="987"/>
      <c r="BWY47" s="987"/>
      <c r="BWZ47" s="987"/>
      <c r="BXA47" s="987"/>
      <c r="BXB47" s="987"/>
      <c r="BXC47" s="987"/>
      <c r="BXD47" s="987"/>
      <c r="BXE47" s="987"/>
      <c r="BXF47" s="987"/>
      <c r="BXG47" s="987"/>
      <c r="BXH47" s="987"/>
      <c r="BXI47" s="987"/>
      <c r="BXJ47" s="987"/>
      <c r="BXK47" s="987"/>
      <c r="BXL47" s="987"/>
      <c r="BXM47" s="987"/>
      <c r="BXN47" s="987"/>
      <c r="BXO47" s="987"/>
      <c r="BXP47" s="987"/>
      <c r="BXQ47" s="987"/>
      <c r="BXR47" s="987"/>
      <c r="BXS47" s="987"/>
      <c r="BXT47" s="987"/>
      <c r="BXU47" s="987"/>
      <c r="BXV47" s="987"/>
      <c r="BXW47" s="987"/>
      <c r="BXX47" s="987"/>
      <c r="BXY47" s="987"/>
      <c r="BXZ47" s="987"/>
      <c r="BYA47" s="987"/>
      <c r="BYB47" s="987"/>
      <c r="BYC47" s="987"/>
      <c r="BYD47" s="987"/>
      <c r="BYE47" s="987"/>
      <c r="BYF47" s="987"/>
      <c r="BYG47" s="987"/>
      <c r="BYH47" s="987"/>
      <c r="BYI47" s="987"/>
      <c r="BYJ47" s="987"/>
      <c r="BYK47" s="987"/>
      <c r="BYL47" s="987"/>
      <c r="BYM47" s="987"/>
      <c r="BYN47" s="987"/>
      <c r="BYO47" s="987"/>
      <c r="BYP47" s="987"/>
      <c r="BYQ47" s="987"/>
      <c r="BYR47" s="987"/>
      <c r="BYS47" s="987"/>
      <c r="BYT47" s="987"/>
      <c r="BYU47" s="987"/>
      <c r="BYV47" s="987"/>
      <c r="BYW47" s="987"/>
      <c r="BYX47" s="987"/>
      <c r="BYY47" s="987"/>
      <c r="BYZ47" s="987"/>
      <c r="BZA47" s="987"/>
      <c r="BZB47" s="987"/>
      <c r="BZC47" s="987"/>
      <c r="BZD47" s="987"/>
      <c r="BZE47" s="987"/>
      <c r="BZF47" s="987"/>
      <c r="BZG47" s="987"/>
      <c r="BZH47" s="987"/>
      <c r="BZI47" s="987"/>
      <c r="BZJ47" s="987"/>
      <c r="BZK47" s="987"/>
      <c r="BZL47" s="987"/>
      <c r="BZM47" s="987"/>
      <c r="BZN47" s="987"/>
      <c r="BZO47" s="987"/>
      <c r="BZP47" s="987"/>
      <c r="BZQ47" s="987"/>
      <c r="BZR47" s="987"/>
      <c r="BZS47" s="987"/>
      <c r="BZT47" s="987"/>
      <c r="BZU47" s="987"/>
      <c r="BZV47" s="987"/>
      <c r="BZW47" s="987"/>
      <c r="BZX47" s="987"/>
      <c r="BZY47" s="987"/>
      <c r="BZZ47" s="987"/>
      <c r="CAA47" s="987"/>
      <c r="CAB47" s="987"/>
      <c r="CAC47" s="987"/>
      <c r="CAD47" s="987"/>
      <c r="CAE47" s="987"/>
      <c r="CAF47" s="987"/>
      <c r="CAG47" s="987"/>
      <c r="CAH47" s="987"/>
      <c r="CAI47" s="987"/>
      <c r="CAJ47" s="987"/>
      <c r="CAK47" s="987"/>
      <c r="CAL47" s="987"/>
      <c r="CAM47" s="987"/>
      <c r="CAN47" s="987"/>
      <c r="CAO47" s="987"/>
      <c r="CAP47" s="987"/>
      <c r="CAQ47" s="987"/>
      <c r="CAR47" s="987"/>
      <c r="CAS47" s="987"/>
      <c r="CAT47" s="987"/>
      <c r="CAU47" s="987"/>
      <c r="CAV47" s="987"/>
      <c r="CAW47" s="987"/>
      <c r="CAX47" s="987"/>
      <c r="CAY47" s="987"/>
      <c r="CAZ47" s="987"/>
      <c r="CBA47" s="987"/>
      <c r="CBB47" s="987"/>
      <c r="CBC47" s="987"/>
      <c r="CBD47" s="987"/>
      <c r="CBE47" s="987"/>
      <c r="CBF47" s="987"/>
      <c r="CBG47" s="987"/>
      <c r="CBH47" s="987"/>
      <c r="CBI47" s="987"/>
      <c r="CBJ47" s="987"/>
      <c r="CBK47" s="987"/>
      <c r="CBL47" s="987"/>
      <c r="CBM47" s="987"/>
      <c r="CBN47" s="987"/>
      <c r="CBO47" s="987"/>
      <c r="CBP47" s="987"/>
      <c r="CBQ47" s="987"/>
      <c r="CBR47" s="987"/>
      <c r="CBS47" s="987"/>
      <c r="CBT47" s="987"/>
      <c r="CBU47" s="987"/>
      <c r="CBV47" s="987"/>
      <c r="CBW47" s="987"/>
      <c r="CBX47" s="987"/>
      <c r="CBY47" s="987"/>
      <c r="CBZ47" s="987"/>
      <c r="CCA47" s="987"/>
      <c r="CCB47" s="987"/>
      <c r="CCC47" s="987"/>
      <c r="CCD47" s="987"/>
      <c r="CCE47" s="987"/>
      <c r="CCF47" s="987"/>
      <c r="CCG47" s="987"/>
      <c r="CCH47" s="987"/>
      <c r="CCI47" s="987"/>
      <c r="CCJ47" s="987"/>
      <c r="CCK47" s="987"/>
      <c r="CCL47" s="987"/>
      <c r="CCM47" s="987"/>
      <c r="CCN47" s="987"/>
      <c r="CCO47" s="987"/>
      <c r="CCP47" s="987"/>
      <c r="CCQ47" s="987"/>
      <c r="CCR47" s="987"/>
      <c r="CCS47" s="987"/>
      <c r="CCT47" s="987"/>
      <c r="CCU47" s="987"/>
      <c r="CCV47" s="987"/>
      <c r="CCW47" s="987"/>
      <c r="CCX47" s="987"/>
      <c r="CCY47" s="987"/>
      <c r="CCZ47" s="987"/>
      <c r="CDA47" s="987"/>
      <c r="CDB47" s="987"/>
      <c r="CDC47" s="987"/>
      <c r="CDD47" s="987"/>
      <c r="CDE47" s="987"/>
      <c r="CDF47" s="987"/>
      <c r="CDG47" s="987"/>
      <c r="CDH47" s="987"/>
      <c r="CDI47" s="987"/>
      <c r="CDJ47" s="987"/>
      <c r="CDK47" s="987"/>
      <c r="CDL47" s="987"/>
      <c r="CDM47" s="987"/>
      <c r="CDN47" s="987"/>
      <c r="CDO47" s="987"/>
      <c r="CDP47" s="987"/>
      <c r="CDQ47" s="987"/>
      <c r="CDR47" s="987"/>
      <c r="CDS47" s="987"/>
      <c r="CDT47" s="987"/>
      <c r="CDU47" s="987"/>
      <c r="CDV47" s="987"/>
      <c r="CDW47" s="987"/>
      <c r="CDX47" s="987"/>
      <c r="CDY47" s="987"/>
      <c r="CDZ47" s="987"/>
      <c r="CEA47" s="987"/>
      <c r="CEB47" s="987"/>
      <c r="CEC47" s="987"/>
      <c r="CED47" s="987"/>
      <c r="CEE47" s="987"/>
      <c r="CEF47" s="987"/>
      <c r="CEG47" s="987"/>
      <c r="CEH47" s="987"/>
      <c r="CEI47" s="987"/>
      <c r="CEJ47" s="987"/>
      <c r="CEK47" s="987"/>
      <c r="CEL47" s="987"/>
      <c r="CEM47" s="987"/>
      <c r="CEN47" s="987"/>
      <c r="CEO47" s="987"/>
      <c r="CEP47" s="987"/>
      <c r="CEQ47" s="987"/>
      <c r="CER47" s="987"/>
      <c r="CES47" s="987"/>
      <c r="CET47" s="987"/>
      <c r="CEU47" s="987"/>
      <c r="CEV47" s="987"/>
      <c r="CEW47" s="987"/>
      <c r="CEX47" s="987"/>
      <c r="CEY47" s="987"/>
      <c r="CEZ47" s="987"/>
      <c r="CFA47" s="987"/>
      <c r="CFB47" s="987"/>
      <c r="CFC47" s="987"/>
      <c r="CFD47" s="987"/>
      <c r="CFE47" s="987"/>
      <c r="CFF47" s="987"/>
      <c r="CFG47" s="987"/>
      <c r="CFH47" s="987"/>
      <c r="CFI47" s="987"/>
      <c r="CFJ47" s="987"/>
      <c r="CFK47" s="987"/>
      <c r="CFL47" s="987"/>
      <c r="CFM47" s="987"/>
      <c r="CFN47" s="987"/>
      <c r="CFO47" s="987"/>
      <c r="CFP47" s="987"/>
      <c r="CFQ47" s="987"/>
      <c r="CFR47" s="987"/>
      <c r="CFS47" s="987"/>
      <c r="CFT47" s="987"/>
      <c r="CFU47" s="987"/>
      <c r="CFV47" s="987"/>
      <c r="CFW47" s="987"/>
      <c r="CFX47" s="987"/>
      <c r="CFY47" s="987"/>
      <c r="CFZ47" s="987"/>
      <c r="CGA47" s="987"/>
      <c r="CGB47" s="987"/>
      <c r="CGC47" s="987"/>
      <c r="CGD47" s="987"/>
      <c r="CGE47" s="987"/>
      <c r="CGF47" s="987"/>
      <c r="CGG47" s="987"/>
      <c r="CGH47" s="987"/>
      <c r="CGI47" s="987"/>
      <c r="CGJ47" s="987"/>
      <c r="CGK47" s="987"/>
      <c r="CGL47" s="987"/>
      <c r="CGM47" s="987"/>
      <c r="CGN47" s="987"/>
      <c r="CGO47" s="987"/>
      <c r="CGP47" s="987"/>
      <c r="CGQ47" s="987"/>
      <c r="CGR47" s="987"/>
      <c r="CGS47" s="987"/>
      <c r="CGT47" s="987"/>
      <c r="CGU47" s="987"/>
      <c r="CGV47" s="987"/>
      <c r="CGW47" s="987"/>
      <c r="CGX47" s="987"/>
      <c r="CGY47" s="987"/>
      <c r="CGZ47" s="987"/>
      <c r="CHA47" s="987"/>
      <c r="CHB47" s="987"/>
      <c r="CHC47" s="987"/>
      <c r="CHD47" s="987"/>
      <c r="CHE47" s="987"/>
      <c r="CHF47" s="987"/>
      <c r="CHG47" s="987"/>
      <c r="CHH47" s="987"/>
      <c r="CHI47" s="987"/>
      <c r="CHJ47" s="987"/>
      <c r="CHK47" s="987"/>
      <c r="CHL47" s="987"/>
      <c r="CHM47" s="987"/>
      <c r="CHN47" s="987"/>
      <c r="CHO47" s="987"/>
      <c r="CHP47" s="987"/>
      <c r="CHQ47" s="987"/>
      <c r="CHR47" s="987"/>
      <c r="CHS47" s="987"/>
      <c r="CHT47" s="987"/>
      <c r="CHU47" s="987"/>
      <c r="CHV47" s="987"/>
      <c r="CHW47" s="987"/>
      <c r="CHX47" s="987"/>
      <c r="CHY47" s="987"/>
      <c r="CHZ47" s="987"/>
      <c r="CIA47" s="987"/>
      <c r="CIB47" s="987"/>
      <c r="CIC47" s="987"/>
      <c r="CID47" s="987"/>
      <c r="CIE47" s="987"/>
      <c r="CIF47" s="987"/>
      <c r="CIG47" s="987"/>
      <c r="CIH47" s="987"/>
      <c r="CII47" s="987"/>
      <c r="CIJ47" s="987"/>
      <c r="CIK47" s="987"/>
      <c r="CIL47" s="987"/>
      <c r="CIM47" s="987"/>
      <c r="CIN47" s="987"/>
      <c r="CIO47" s="987"/>
      <c r="CIP47" s="987"/>
      <c r="CIQ47" s="987"/>
      <c r="CIR47" s="987"/>
      <c r="CIS47" s="987"/>
      <c r="CIT47" s="987"/>
      <c r="CIU47" s="987"/>
      <c r="CIV47" s="987"/>
      <c r="CIW47" s="987"/>
      <c r="CIX47" s="987"/>
      <c r="CIY47" s="987"/>
      <c r="CIZ47" s="987"/>
      <c r="CJA47" s="987"/>
      <c r="CJB47" s="987"/>
      <c r="CJC47" s="987"/>
      <c r="CJD47" s="987"/>
      <c r="CJE47" s="987"/>
      <c r="CJF47" s="987"/>
      <c r="CJG47" s="987"/>
      <c r="CJH47" s="987"/>
      <c r="CJI47" s="987"/>
      <c r="CJJ47" s="987"/>
      <c r="CJK47" s="987"/>
      <c r="CJL47" s="987"/>
      <c r="CJM47" s="987"/>
      <c r="CJN47" s="987"/>
      <c r="CJO47" s="987"/>
      <c r="CJP47" s="987"/>
      <c r="CJQ47" s="987"/>
      <c r="CJR47" s="987"/>
      <c r="CJS47" s="987"/>
      <c r="CJT47" s="987"/>
      <c r="CJU47" s="987"/>
      <c r="CJV47" s="987"/>
      <c r="CJW47" s="987"/>
      <c r="CJX47" s="987"/>
      <c r="CJY47" s="987"/>
      <c r="CJZ47" s="987"/>
      <c r="CKA47" s="987"/>
      <c r="CKB47" s="987"/>
      <c r="CKC47" s="987"/>
      <c r="CKD47" s="987"/>
      <c r="CKE47" s="987"/>
      <c r="CKF47" s="987"/>
      <c r="CKG47" s="987"/>
      <c r="CKH47" s="987"/>
      <c r="CKI47" s="987"/>
      <c r="CKJ47" s="987"/>
      <c r="CKK47" s="987"/>
      <c r="CKL47" s="987"/>
      <c r="CKM47" s="987"/>
      <c r="CKN47" s="987"/>
      <c r="CKO47" s="987"/>
      <c r="CKP47" s="987"/>
      <c r="CKQ47" s="987"/>
      <c r="CKR47" s="987"/>
      <c r="CKS47" s="987"/>
      <c r="CKT47" s="987"/>
      <c r="CKU47" s="987"/>
      <c r="CKV47" s="987"/>
      <c r="CKW47" s="987"/>
      <c r="CKX47" s="987"/>
      <c r="CKY47" s="987"/>
      <c r="CKZ47" s="987"/>
      <c r="CLA47" s="987"/>
      <c r="CLB47" s="987"/>
      <c r="CLC47" s="987"/>
      <c r="CLD47" s="987"/>
      <c r="CLE47" s="987"/>
      <c r="CLF47" s="987"/>
      <c r="CLG47" s="987"/>
      <c r="CLH47" s="987"/>
      <c r="CLI47" s="987"/>
      <c r="CLJ47" s="987"/>
      <c r="CLK47" s="987"/>
      <c r="CLL47" s="987"/>
      <c r="CLM47" s="987"/>
      <c r="CLN47" s="987"/>
      <c r="CLO47" s="987"/>
      <c r="CLP47" s="987"/>
      <c r="CLQ47" s="987"/>
      <c r="CLR47" s="987"/>
      <c r="CLS47" s="987"/>
      <c r="CLT47" s="987"/>
      <c r="CLU47" s="987"/>
      <c r="CLV47" s="987"/>
      <c r="CLW47" s="987"/>
      <c r="CLX47" s="987"/>
      <c r="CLY47" s="987"/>
      <c r="CLZ47" s="987"/>
      <c r="CMA47" s="987"/>
      <c r="CMB47" s="987"/>
      <c r="CMC47" s="987"/>
      <c r="CMD47" s="987"/>
      <c r="CME47" s="987"/>
      <c r="CMF47" s="987"/>
      <c r="CMG47" s="987"/>
      <c r="CMH47" s="987"/>
      <c r="CMI47" s="987"/>
      <c r="CMJ47" s="987"/>
      <c r="CMK47" s="987"/>
      <c r="CML47" s="987"/>
      <c r="CMM47" s="987"/>
      <c r="CMN47" s="987"/>
      <c r="CMO47" s="987"/>
      <c r="CMP47" s="987"/>
      <c r="CMQ47" s="987"/>
      <c r="CMR47" s="987"/>
      <c r="CMS47" s="987"/>
      <c r="CMT47" s="987"/>
      <c r="CMU47" s="987"/>
      <c r="CMV47" s="987"/>
      <c r="CMW47" s="987"/>
      <c r="CMX47" s="987"/>
      <c r="CMY47" s="987"/>
      <c r="CMZ47" s="987"/>
      <c r="CNA47" s="987"/>
      <c r="CNB47" s="987"/>
      <c r="CNC47" s="987"/>
      <c r="CND47" s="987"/>
      <c r="CNE47" s="987"/>
      <c r="CNF47" s="987"/>
      <c r="CNG47" s="987"/>
      <c r="CNH47" s="987"/>
      <c r="CNI47" s="987"/>
      <c r="CNJ47" s="987"/>
      <c r="CNK47" s="987"/>
      <c r="CNL47" s="987"/>
      <c r="CNM47" s="987"/>
      <c r="CNN47" s="987"/>
      <c r="CNO47" s="987"/>
      <c r="CNP47" s="987"/>
      <c r="CNQ47" s="987"/>
      <c r="CNR47" s="987"/>
      <c r="CNS47" s="987"/>
      <c r="CNT47" s="987"/>
      <c r="CNU47" s="987"/>
      <c r="CNV47" s="987"/>
      <c r="CNW47" s="987"/>
      <c r="CNX47" s="987"/>
      <c r="CNY47" s="987"/>
      <c r="CNZ47" s="987"/>
      <c r="COA47" s="987"/>
      <c r="COB47" s="987"/>
      <c r="COC47" s="987"/>
      <c r="COD47" s="987"/>
      <c r="COE47" s="987"/>
      <c r="COF47" s="987"/>
      <c r="COG47" s="987"/>
      <c r="COH47" s="987"/>
      <c r="COI47" s="987"/>
      <c r="COJ47" s="987"/>
      <c r="COK47" s="987"/>
      <c r="COL47" s="987"/>
      <c r="COM47" s="987"/>
      <c r="CON47" s="987"/>
      <c r="COO47" s="987"/>
      <c r="COP47" s="987"/>
      <c r="COQ47" s="987"/>
      <c r="COR47" s="987"/>
      <c r="COS47" s="987"/>
      <c r="COT47" s="987"/>
      <c r="COU47" s="987"/>
      <c r="COV47" s="987"/>
      <c r="COW47" s="987"/>
      <c r="COX47" s="987"/>
      <c r="COY47" s="987"/>
      <c r="COZ47" s="987"/>
      <c r="CPA47" s="987"/>
      <c r="CPB47" s="987"/>
      <c r="CPC47" s="987"/>
      <c r="CPD47" s="987"/>
      <c r="CPE47" s="987"/>
      <c r="CPF47" s="987"/>
      <c r="CPG47" s="987"/>
      <c r="CPH47" s="987"/>
      <c r="CPI47" s="987"/>
      <c r="CPJ47" s="987"/>
      <c r="CPK47" s="987"/>
      <c r="CPL47" s="987"/>
      <c r="CPM47" s="987"/>
      <c r="CPN47" s="987"/>
      <c r="CPO47" s="987"/>
      <c r="CPP47" s="987"/>
      <c r="CPQ47" s="987"/>
      <c r="CPR47" s="987"/>
      <c r="CPS47" s="987"/>
      <c r="CPT47" s="987"/>
      <c r="CPU47" s="987"/>
      <c r="CPV47" s="987"/>
      <c r="CPW47" s="987"/>
      <c r="CPX47" s="987"/>
      <c r="CPY47" s="987"/>
      <c r="CPZ47" s="987"/>
      <c r="CQA47" s="987"/>
      <c r="CQB47" s="987"/>
      <c r="CQC47" s="987"/>
      <c r="CQD47" s="987"/>
      <c r="CQE47" s="987"/>
      <c r="CQF47" s="987"/>
      <c r="CQG47" s="987"/>
      <c r="CQH47" s="987"/>
      <c r="CQI47" s="987"/>
      <c r="CQJ47" s="987"/>
      <c r="CQK47" s="987"/>
      <c r="CQL47" s="987"/>
      <c r="CQM47" s="987"/>
      <c r="CQN47" s="987"/>
      <c r="CQO47" s="987"/>
      <c r="CQP47" s="987"/>
      <c r="CQQ47" s="987"/>
      <c r="CQR47" s="987"/>
      <c r="CQS47" s="987"/>
      <c r="CQT47" s="987"/>
      <c r="CQU47" s="987"/>
      <c r="CQV47" s="987"/>
      <c r="CQW47" s="987"/>
      <c r="CQX47" s="987"/>
      <c r="CQY47" s="987"/>
      <c r="CQZ47" s="987"/>
      <c r="CRA47" s="987"/>
      <c r="CRB47" s="987"/>
      <c r="CRC47" s="987"/>
      <c r="CRD47" s="987"/>
      <c r="CRE47" s="987"/>
      <c r="CRF47" s="987"/>
      <c r="CRG47" s="987"/>
      <c r="CRH47" s="987"/>
      <c r="CRI47" s="987"/>
      <c r="CRJ47" s="987"/>
      <c r="CRK47" s="987"/>
      <c r="CRL47" s="987"/>
      <c r="CRM47" s="987"/>
      <c r="CRN47" s="987"/>
      <c r="CRO47" s="987"/>
      <c r="CRP47" s="987"/>
      <c r="CRQ47" s="987"/>
      <c r="CRR47" s="987"/>
      <c r="CRS47" s="987"/>
      <c r="CRT47" s="987"/>
      <c r="CRU47" s="987"/>
      <c r="CRV47" s="987"/>
      <c r="CRW47" s="987"/>
      <c r="CRX47" s="987"/>
      <c r="CRY47" s="987"/>
      <c r="CRZ47" s="987"/>
      <c r="CSA47" s="987"/>
      <c r="CSB47" s="987"/>
      <c r="CSC47" s="987"/>
      <c r="CSD47" s="987"/>
      <c r="CSE47" s="987"/>
      <c r="CSF47" s="987"/>
      <c r="CSG47" s="987"/>
      <c r="CSH47" s="987"/>
      <c r="CSI47" s="987"/>
      <c r="CSJ47" s="987"/>
      <c r="CSK47" s="987"/>
      <c r="CSL47" s="987"/>
      <c r="CSM47" s="987"/>
      <c r="CSN47" s="987"/>
      <c r="CSO47" s="987"/>
      <c r="CSP47" s="987"/>
      <c r="CSQ47" s="987"/>
      <c r="CSR47" s="987"/>
      <c r="CSS47" s="987"/>
      <c r="CST47" s="987"/>
      <c r="CSU47" s="987"/>
      <c r="CSV47" s="987"/>
      <c r="CSW47" s="987"/>
      <c r="CSX47" s="987"/>
      <c r="CSY47" s="987"/>
      <c r="CSZ47" s="987"/>
      <c r="CTA47" s="987"/>
      <c r="CTB47" s="987"/>
      <c r="CTC47" s="987"/>
      <c r="CTD47" s="987"/>
      <c r="CTE47" s="987"/>
      <c r="CTF47" s="987"/>
      <c r="CTG47" s="987"/>
      <c r="CTH47" s="987"/>
      <c r="CTI47" s="987"/>
      <c r="CTJ47" s="987"/>
      <c r="CTK47" s="987"/>
      <c r="CTL47" s="987"/>
      <c r="CTM47" s="987"/>
      <c r="CTN47" s="987"/>
      <c r="CTO47" s="987"/>
      <c r="CTP47" s="987"/>
      <c r="CTQ47" s="987"/>
      <c r="CTR47" s="987"/>
      <c r="CTS47" s="987"/>
      <c r="CTT47" s="987"/>
      <c r="CTU47" s="987"/>
      <c r="CTV47" s="987"/>
      <c r="CTW47" s="987"/>
      <c r="CTX47" s="987"/>
      <c r="CTY47" s="987"/>
      <c r="CTZ47" s="987"/>
      <c r="CUA47" s="987"/>
      <c r="CUB47" s="987"/>
      <c r="CUC47" s="987"/>
      <c r="CUD47" s="987"/>
      <c r="CUE47" s="987"/>
      <c r="CUF47" s="987"/>
      <c r="CUG47" s="987"/>
      <c r="CUH47" s="987"/>
      <c r="CUI47" s="987"/>
      <c r="CUJ47" s="987"/>
      <c r="CUK47" s="987"/>
      <c r="CUL47" s="987"/>
      <c r="CUM47" s="987"/>
      <c r="CUN47" s="987"/>
      <c r="CUO47" s="987"/>
      <c r="CUP47" s="987"/>
      <c r="CUQ47" s="987"/>
      <c r="CUR47" s="987"/>
      <c r="CUS47" s="987"/>
      <c r="CUT47" s="987"/>
      <c r="CUU47" s="987"/>
      <c r="CUV47" s="987"/>
      <c r="CUW47" s="987"/>
      <c r="CUX47" s="987"/>
      <c r="CUY47" s="987"/>
      <c r="CUZ47" s="987"/>
      <c r="CVA47" s="987"/>
      <c r="CVB47" s="987"/>
      <c r="CVC47" s="987"/>
      <c r="CVD47" s="987"/>
      <c r="CVE47" s="987"/>
      <c r="CVF47" s="987"/>
      <c r="CVG47" s="987"/>
      <c r="CVH47" s="987"/>
      <c r="CVI47" s="987"/>
      <c r="CVJ47" s="987"/>
      <c r="CVK47" s="987"/>
      <c r="CVL47" s="987"/>
      <c r="CVM47" s="987"/>
      <c r="CVN47" s="987"/>
      <c r="CVO47" s="987"/>
      <c r="CVP47" s="987"/>
      <c r="CVQ47" s="987"/>
      <c r="CVR47" s="987"/>
      <c r="CVS47" s="987"/>
      <c r="CVT47" s="987"/>
      <c r="CVU47" s="987"/>
      <c r="CVV47" s="987"/>
      <c r="CVW47" s="987"/>
      <c r="CVX47" s="987"/>
      <c r="CVY47" s="987"/>
      <c r="CVZ47" s="987"/>
      <c r="CWA47" s="987"/>
      <c r="CWB47" s="987"/>
      <c r="CWC47" s="987"/>
      <c r="CWD47" s="987"/>
      <c r="CWE47" s="987"/>
      <c r="CWF47" s="987"/>
      <c r="CWG47" s="987"/>
      <c r="CWH47" s="987"/>
      <c r="CWI47" s="987"/>
      <c r="CWJ47" s="987"/>
      <c r="CWK47" s="987"/>
      <c r="CWL47" s="987"/>
      <c r="CWM47" s="987"/>
      <c r="CWN47" s="987"/>
      <c r="CWO47" s="987"/>
      <c r="CWP47" s="987"/>
      <c r="CWQ47" s="987"/>
      <c r="CWR47" s="987"/>
      <c r="CWS47" s="987"/>
      <c r="CWT47" s="987"/>
      <c r="CWU47" s="987"/>
      <c r="CWV47" s="987"/>
      <c r="CWW47" s="987"/>
      <c r="CWX47" s="987"/>
      <c r="CWY47" s="987"/>
      <c r="CWZ47" s="987"/>
      <c r="CXA47" s="987"/>
      <c r="CXB47" s="987"/>
      <c r="CXC47" s="987"/>
      <c r="CXD47" s="987"/>
      <c r="CXE47" s="987"/>
      <c r="CXF47" s="987"/>
      <c r="CXG47" s="987"/>
      <c r="CXH47" s="987"/>
      <c r="CXI47" s="987"/>
      <c r="CXJ47" s="987"/>
      <c r="CXK47" s="987"/>
      <c r="CXL47" s="987"/>
      <c r="CXM47" s="987"/>
      <c r="CXN47" s="987"/>
      <c r="CXO47" s="987"/>
      <c r="CXP47" s="987"/>
      <c r="CXQ47" s="987"/>
      <c r="CXR47" s="987"/>
      <c r="CXS47" s="987"/>
      <c r="CXT47" s="987"/>
      <c r="CXU47" s="987"/>
      <c r="CXV47" s="987"/>
      <c r="CXW47" s="987"/>
      <c r="CXX47" s="987"/>
      <c r="CXY47" s="987"/>
      <c r="CXZ47" s="987"/>
      <c r="CYA47" s="987"/>
      <c r="CYB47" s="987"/>
      <c r="CYC47" s="987"/>
      <c r="CYD47" s="987"/>
      <c r="CYE47" s="987"/>
      <c r="CYF47" s="987"/>
      <c r="CYG47" s="987"/>
      <c r="CYH47" s="987"/>
      <c r="CYI47" s="987"/>
      <c r="CYJ47" s="987"/>
      <c r="CYK47" s="987"/>
      <c r="CYL47" s="987"/>
      <c r="CYM47" s="987"/>
      <c r="CYN47" s="987"/>
      <c r="CYO47" s="987"/>
      <c r="CYP47" s="987"/>
      <c r="CYQ47" s="987"/>
      <c r="CYR47" s="987"/>
      <c r="CYS47" s="987"/>
      <c r="CYT47" s="987"/>
      <c r="CYU47" s="987"/>
      <c r="CYV47" s="987"/>
      <c r="CYW47" s="987"/>
      <c r="CYX47" s="987"/>
      <c r="CYY47" s="987"/>
      <c r="CYZ47" s="987"/>
      <c r="CZA47" s="987"/>
      <c r="CZB47" s="987"/>
      <c r="CZC47" s="987"/>
      <c r="CZD47" s="987"/>
      <c r="CZE47" s="987"/>
      <c r="CZF47" s="987"/>
      <c r="CZG47" s="987"/>
      <c r="CZH47" s="987"/>
      <c r="CZI47" s="987"/>
      <c r="CZJ47" s="987"/>
      <c r="CZK47" s="987"/>
      <c r="CZL47" s="987"/>
      <c r="CZM47" s="987"/>
      <c r="CZN47" s="987"/>
      <c r="CZO47" s="987"/>
      <c r="CZP47" s="987"/>
      <c r="CZQ47" s="987"/>
      <c r="CZR47" s="987"/>
      <c r="CZS47" s="987"/>
      <c r="CZT47" s="987"/>
      <c r="CZU47" s="987"/>
      <c r="CZV47" s="987"/>
      <c r="CZW47" s="987"/>
      <c r="CZX47" s="987"/>
      <c r="CZY47" s="987"/>
      <c r="CZZ47" s="987"/>
      <c r="DAA47" s="987"/>
      <c r="DAB47" s="987"/>
      <c r="DAC47" s="987"/>
      <c r="DAD47" s="987"/>
      <c r="DAE47" s="987"/>
      <c r="DAF47" s="987"/>
      <c r="DAG47" s="987"/>
      <c r="DAH47" s="987"/>
      <c r="DAI47" s="987"/>
      <c r="DAJ47" s="987"/>
      <c r="DAK47" s="987"/>
      <c r="DAL47" s="987"/>
      <c r="DAM47" s="987"/>
      <c r="DAN47" s="987"/>
      <c r="DAO47" s="987"/>
      <c r="DAP47" s="987"/>
      <c r="DAQ47" s="987"/>
      <c r="DAR47" s="987"/>
      <c r="DAS47" s="987"/>
      <c r="DAT47" s="987"/>
      <c r="DAU47" s="987"/>
      <c r="DAV47" s="987"/>
      <c r="DAW47" s="987"/>
      <c r="DAX47" s="987"/>
      <c r="DAY47" s="987"/>
      <c r="DAZ47" s="987"/>
      <c r="DBA47" s="987"/>
      <c r="DBB47" s="987"/>
      <c r="DBC47" s="987"/>
      <c r="DBD47" s="987"/>
      <c r="DBE47" s="987"/>
      <c r="DBF47" s="987"/>
      <c r="DBG47" s="987"/>
      <c r="DBH47" s="987"/>
      <c r="DBI47" s="987"/>
      <c r="DBJ47" s="987"/>
      <c r="DBK47" s="987"/>
      <c r="DBL47" s="987"/>
      <c r="DBM47" s="987"/>
      <c r="DBN47" s="987"/>
      <c r="DBO47" s="987"/>
      <c r="DBP47" s="987"/>
      <c r="DBQ47" s="987"/>
      <c r="DBR47" s="987"/>
      <c r="DBS47" s="987"/>
      <c r="DBT47" s="987"/>
      <c r="DBU47" s="987"/>
      <c r="DBV47" s="987"/>
      <c r="DBW47" s="987"/>
      <c r="DBX47" s="987"/>
      <c r="DBY47" s="987"/>
      <c r="DBZ47" s="987"/>
      <c r="DCA47" s="987"/>
      <c r="DCB47" s="987"/>
      <c r="DCC47" s="987"/>
      <c r="DCD47" s="987"/>
      <c r="DCE47" s="987"/>
      <c r="DCF47" s="987"/>
      <c r="DCG47" s="987"/>
      <c r="DCH47" s="987"/>
      <c r="DCI47" s="987"/>
      <c r="DCJ47" s="987"/>
      <c r="DCK47" s="987"/>
      <c r="DCL47" s="987"/>
      <c r="DCM47" s="987"/>
      <c r="DCN47" s="987"/>
      <c r="DCO47" s="987"/>
      <c r="DCP47" s="987"/>
      <c r="DCQ47" s="987"/>
      <c r="DCR47" s="987"/>
      <c r="DCS47" s="987"/>
      <c r="DCT47" s="987"/>
      <c r="DCU47" s="987"/>
      <c r="DCV47" s="987"/>
      <c r="DCW47" s="987"/>
      <c r="DCX47" s="987"/>
      <c r="DCY47" s="987"/>
      <c r="DCZ47" s="987"/>
      <c r="DDA47" s="987"/>
      <c r="DDB47" s="987"/>
      <c r="DDC47" s="987"/>
      <c r="DDD47" s="987"/>
      <c r="DDE47" s="987"/>
      <c r="DDF47" s="987"/>
      <c r="DDG47" s="987"/>
      <c r="DDH47" s="987"/>
      <c r="DDI47" s="987"/>
      <c r="DDJ47" s="987"/>
      <c r="DDK47" s="987"/>
      <c r="DDL47" s="987"/>
      <c r="DDM47" s="987"/>
      <c r="DDN47" s="987"/>
      <c r="DDO47" s="987"/>
      <c r="DDP47" s="987"/>
      <c r="DDQ47" s="987"/>
      <c r="DDR47" s="987"/>
      <c r="DDS47" s="987"/>
      <c r="DDT47" s="987"/>
      <c r="DDU47" s="987"/>
      <c r="DDV47" s="987"/>
      <c r="DDW47" s="987"/>
      <c r="DDX47" s="987"/>
      <c r="DDY47" s="987"/>
      <c r="DDZ47" s="987"/>
      <c r="DEA47" s="987"/>
      <c r="DEB47" s="987"/>
      <c r="DEC47" s="987"/>
      <c r="DED47" s="987"/>
      <c r="DEE47" s="987"/>
      <c r="DEF47" s="987"/>
      <c r="DEG47" s="987"/>
      <c r="DEH47" s="987"/>
      <c r="DEI47" s="987"/>
      <c r="DEJ47" s="987"/>
      <c r="DEK47" s="987"/>
      <c r="DEL47" s="987"/>
      <c r="DEM47" s="987"/>
      <c r="DEN47" s="987"/>
      <c r="DEO47" s="987"/>
      <c r="DEP47" s="987"/>
      <c r="DEQ47" s="987"/>
      <c r="DER47" s="987"/>
      <c r="DES47" s="987"/>
      <c r="DET47" s="987"/>
      <c r="DEU47" s="987"/>
      <c r="DEV47" s="987"/>
      <c r="DEW47" s="987"/>
      <c r="DEX47" s="987"/>
      <c r="DEY47" s="987"/>
      <c r="DEZ47" s="987"/>
      <c r="DFA47" s="987"/>
      <c r="DFB47" s="987"/>
      <c r="DFC47" s="987"/>
      <c r="DFD47" s="987"/>
      <c r="DFE47" s="987"/>
      <c r="DFF47" s="987"/>
      <c r="DFG47" s="987"/>
      <c r="DFH47" s="987"/>
      <c r="DFI47" s="987"/>
      <c r="DFJ47" s="987"/>
      <c r="DFK47" s="987"/>
      <c r="DFL47" s="987"/>
      <c r="DFM47" s="987"/>
      <c r="DFN47" s="987"/>
      <c r="DFO47" s="987"/>
      <c r="DFP47" s="987"/>
      <c r="DFQ47" s="987"/>
      <c r="DFR47" s="987"/>
      <c r="DFS47" s="987"/>
      <c r="DFT47" s="987"/>
      <c r="DFU47" s="987"/>
      <c r="DFV47" s="987"/>
      <c r="DFW47" s="987"/>
      <c r="DFX47" s="987"/>
      <c r="DFY47" s="987"/>
      <c r="DFZ47" s="987"/>
      <c r="DGA47" s="987"/>
      <c r="DGB47" s="987"/>
      <c r="DGC47" s="987"/>
      <c r="DGD47" s="987"/>
      <c r="DGE47" s="987"/>
      <c r="DGF47" s="987"/>
      <c r="DGG47" s="987"/>
      <c r="DGH47" s="987"/>
      <c r="DGI47" s="987"/>
      <c r="DGJ47" s="987"/>
      <c r="DGK47" s="987"/>
      <c r="DGL47" s="987"/>
      <c r="DGM47" s="987"/>
      <c r="DGN47" s="987"/>
      <c r="DGO47" s="987"/>
      <c r="DGP47" s="987"/>
      <c r="DGQ47" s="987"/>
      <c r="DGR47" s="987"/>
      <c r="DGS47" s="987"/>
      <c r="DGT47" s="987"/>
      <c r="DGU47" s="987"/>
      <c r="DGV47" s="987"/>
      <c r="DGW47" s="987"/>
      <c r="DGX47" s="987"/>
      <c r="DGY47" s="987"/>
      <c r="DGZ47" s="987"/>
      <c r="DHA47" s="987"/>
      <c r="DHB47" s="987"/>
      <c r="DHC47" s="987"/>
      <c r="DHD47" s="987"/>
      <c r="DHE47" s="987"/>
      <c r="DHF47" s="987"/>
      <c r="DHG47" s="987"/>
      <c r="DHH47" s="987"/>
      <c r="DHI47" s="987"/>
      <c r="DHJ47" s="987"/>
      <c r="DHK47" s="987"/>
      <c r="DHL47" s="987"/>
      <c r="DHM47" s="987"/>
      <c r="DHN47" s="987"/>
      <c r="DHO47" s="987"/>
      <c r="DHP47" s="987"/>
      <c r="DHQ47" s="987"/>
      <c r="DHR47" s="987"/>
      <c r="DHS47" s="987"/>
      <c r="DHT47" s="987"/>
      <c r="DHU47" s="987"/>
      <c r="DHV47" s="987"/>
      <c r="DHW47" s="987"/>
      <c r="DHX47" s="987"/>
      <c r="DHY47" s="987"/>
      <c r="DHZ47" s="987"/>
      <c r="DIA47" s="987"/>
      <c r="DIB47" s="987"/>
      <c r="DIC47" s="987"/>
      <c r="DID47" s="987"/>
      <c r="DIE47" s="987"/>
      <c r="DIF47" s="987"/>
      <c r="DIG47" s="987"/>
      <c r="DIH47" s="987"/>
      <c r="DII47" s="987"/>
      <c r="DIJ47" s="987"/>
      <c r="DIK47" s="987"/>
      <c r="DIL47" s="987"/>
      <c r="DIM47" s="987"/>
      <c r="DIN47" s="987"/>
      <c r="DIO47" s="987"/>
      <c r="DIP47" s="987"/>
      <c r="DIQ47" s="987"/>
      <c r="DIR47" s="987"/>
      <c r="DIS47" s="987"/>
      <c r="DIT47" s="987"/>
      <c r="DIU47" s="987"/>
      <c r="DIV47" s="987"/>
      <c r="DIW47" s="987"/>
      <c r="DIX47" s="987"/>
      <c r="DIY47" s="987"/>
      <c r="DIZ47" s="987"/>
      <c r="DJA47" s="987"/>
      <c r="DJB47" s="987"/>
      <c r="DJC47" s="987"/>
      <c r="DJD47" s="987"/>
      <c r="DJE47" s="987"/>
      <c r="DJF47" s="987"/>
      <c r="DJG47" s="987"/>
      <c r="DJH47" s="987"/>
      <c r="DJI47" s="987"/>
      <c r="DJJ47" s="987"/>
      <c r="DJK47" s="987"/>
      <c r="DJL47" s="987"/>
      <c r="DJM47" s="987"/>
      <c r="DJN47" s="987"/>
      <c r="DJO47" s="987"/>
      <c r="DJP47" s="987"/>
      <c r="DJQ47" s="987"/>
      <c r="DJR47" s="987"/>
      <c r="DJS47" s="987"/>
      <c r="DJT47" s="987"/>
      <c r="DJU47" s="987"/>
      <c r="DJV47" s="987"/>
      <c r="DJW47" s="987"/>
      <c r="DJX47" s="987"/>
      <c r="DJY47" s="987"/>
      <c r="DJZ47" s="987"/>
      <c r="DKA47" s="987"/>
      <c r="DKB47" s="987"/>
      <c r="DKC47" s="987"/>
      <c r="DKD47" s="987"/>
      <c r="DKE47" s="987"/>
      <c r="DKF47" s="987"/>
      <c r="DKG47" s="987"/>
      <c r="DKH47" s="987"/>
      <c r="DKI47" s="987"/>
      <c r="DKJ47" s="987"/>
      <c r="DKK47" s="987"/>
      <c r="DKL47" s="987"/>
      <c r="DKM47" s="987"/>
      <c r="DKN47" s="987"/>
      <c r="DKO47" s="987"/>
      <c r="DKP47" s="987"/>
      <c r="DKQ47" s="987"/>
      <c r="DKR47" s="987"/>
      <c r="DKS47" s="987"/>
      <c r="DKT47" s="987"/>
      <c r="DKU47" s="987"/>
      <c r="DKV47" s="987"/>
      <c r="DKW47" s="987"/>
      <c r="DKX47" s="987"/>
      <c r="DKY47" s="987"/>
      <c r="DKZ47" s="987"/>
      <c r="DLA47" s="987"/>
      <c r="DLB47" s="987"/>
      <c r="DLC47" s="987"/>
      <c r="DLD47" s="987"/>
      <c r="DLE47" s="987"/>
      <c r="DLF47" s="987"/>
      <c r="DLG47" s="987"/>
      <c r="DLH47" s="987"/>
      <c r="DLI47" s="987"/>
      <c r="DLJ47" s="987"/>
      <c r="DLK47" s="987"/>
      <c r="DLL47" s="987"/>
      <c r="DLM47" s="987"/>
      <c r="DLN47" s="987"/>
      <c r="DLO47" s="987"/>
      <c r="DLP47" s="987"/>
      <c r="DLQ47" s="987"/>
      <c r="DLR47" s="987"/>
      <c r="DLS47" s="987"/>
      <c r="DLT47" s="987"/>
      <c r="DLU47" s="987"/>
      <c r="DLV47" s="987"/>
      <c r="DLW47" s="987"/>
      <c r="DLX47" s="987"/>
      <c r="DLY47" s="987"/>
      <c r="DLZ47" s="987"/>
      <c r="DMA47" s="987"/>
      <c r="DMB47" s="987"/>
      <c r="DMC47" s="987"/>
      <c r="DMD47" s="987"/>
      <c r="DME47" s="987"/>
      <c r="DMF47" s="987"/>
      <c r="DMG47" s="987"/>
      <c r="DMH47" s="987"/>
      <c r="DMI47" s="987"/>
      <c r="DMJ47" s="987"/>
      <c r="DMK47" s="987"/>
      <c r="DML47" s="987"/>
      <c r="DMM47" s="987"/>
      <c r="DMN47" s="987"/>
      <c r="DMO47" s="987"/>
      <c r="DMP47" s="987"/>
      <c r="DMQ47" s="987"/>
      <c r="DMR47" s="987"/>
      <c r="DMS47" s="987"/>
      <c r="DMT47" s="987"/>
      <c r="DMU47" s="987"/>
      <c r="DMV47" s="987"/>
      <c r="DMW47" s="987"/>
      <c r="DMX47" s="987"/>
      <c r="DMY47" s="987"/>
      <c r="DMZ47" s="987"/>
      <c r="DNA47" s="987"/>
      <c r="DNB47" s="987"/>
      <c r="DNC47" s="987"/>
      <c r="DND47" s="987"/>
      <c r="DNE47" s="987"/>
      <c r="DNF47" s="987"/>
      <c r="DNG47" s="987"/>
      <c r="DNH47" s="987"/>
      <c r="DNI47" s="987"/>
      <c r="DNJ47" s="987"/>
      <c r="DNK47" s="987"/>
      <c r="DNL47" s="987"/>
      <c r="DNM47" s="987"/>
      <c r="DNN47" s="987"/>
      <c r="DNO47" s="987"/>
      <c r="DNP47" s="987"/>
      <c r="DNQ47" s="987"/>
      <c r="DNR47" s="987"/>
      <c r="DNS47" s="987"/>
      <c r="DNT47" s="987"/>
      <c r="DNU47" s="987"/>
      <c r="DNV47" s="987"/>
      <c r="DNW47" s="987"/>
      <c r="DNX47" s="987"/>
      <c r="DNY47" s="987"/>
      <c r="DNZ47" s="987"/>
      <c r="DOA47" s="987"/>
      <c r="DOB47" s="987"/>
      <c r="DOC47" s="987"/>
      <c r="DOD47" s="987"/>
      <c r="DOE47" s="987"/>
      <c r="DOF47" s="987"/>
      <c r="DOG47" s="987"/>
      <c r="DOH47" s="987"/>
      <c r="DOI47" s="987"/>
      <c r="DOJ47" s="987"/>
      <c r="DOK47" s="987"/>
      <c r="DOL47" s="987"/>
      <c r="DOM47" s="987"/>
      <c r="DON47" s="987"/>
      <c r="DOO47" s="987"/>
      <c r="DOP47" s="987"/>
      <c r="DOQ47" s="987"/>
      <c r="DOR47" s="987"/>
      <c r="DOS47" s="987"/>
      <c r="DOT47" s="987"/>
      <c r="DOU47" s="987"/>
      <c r="DOV47" s="987"/>
      <c r="DOW47" s="987"/>
      <c r="DOX47" s="987"/>
      <c r="DOY47" s="987"/>
      <c r="DOZ47" s="987"/>
      <c r="DPA47" s="987"/>
      <c r="DPB47" s="987"/>
      <c r="DPC47" s="987"/>
      <c r="DPD47" s="987"/>
      <c r="DPE47" s="987"/>
      <c r="DPF47" s="987"/>
      <c r="DPG47" s="987"/>
      <c r="DPH47" s="987"/>
      <c r="DPI47" s="987"/>
      <c r="DPJ47" s="987"/>
      <c r="DPK47" s="987"/>
      <c r="DPL47" s="987"/>
      <c r="DPM47" s="987"/>
      <c r="DPN47" s="987"/>
      <c r="DPO47" s="987"/>
      <c r="DPP47" s="987"/>
      <c r="DPQ47" s="987"/>
      <c r="DPR47" s="987"/>
      <c r="DPS47" s="987"/>
      <c r="DPT47" s="987"/>
      <c r="DPU47" s="987"/>
      <c r="DPV47" s="987"/>
      <c r="DPW47" s="987"/>
      <c r="DPX47" s="987"/>
      <c r="DPY47" s="987"/>
      <c r="DPZ47" s="987"/>
      <c r="DQA47" s="987"/>
      <c r="DQB47" s="987"/>
      <c r="DQC47" s="987"/>
      <c r="DQD47" s="987"/>
      <c r="DQE47" s="987"/>
      <c r="DQF47" s="987"/>
      <c r="DQG47" s="987"/>
      <c r="DQH47" s="987"/>
      <c r="DQI47" s="987"/>
      <c r="DQJ47" s="987"/>
      <c r="DQK47" s="987"/>
      <c r="DQL47" s="987"/>
      <c r="DQM47" s="987"/>
      <c r="DQN47" s="987"/>
      <c r="DQO47" s="987"/>
      <c r="DQP47" s="987"/>
      <c r="DQQ47" s="987"/>
      <c r="DQR47" s="987"/>
      <c r="DQS47" s="987"/>
      <c r="DQT47" s="987"/>
      <c r="DQU47" s="987"/>
      <c r="DQV47" s="987"/>
      <c r="DQW47" s="987"/>
      <c r="DQX47" s="987"/>
      <c r="DQY47" s="987"/>
      <c r="DQZ47" s="987"/>
      <c r="DRA47" s="987"/>
      <c r="DRB47" s="987"/>
      <c r="DRC47" s="987"/>
      <c r="DRD47" s="987"/>
      <c r="DRE47" s="987"/>
      <c r="DRF47" s="987"/>
      <c r="DRG47" s="987"/>
      <c r="DRH47" s="987"/>
      <c r="DRI47" s="987"/>
      <c r="DRJ47" s="987"/>
      <c r="DRK47" s="987"/>
      <c r="DRL47" s="987"/>
      <c r="DRM47" s="987"/>
      <c r="DRN47" s="987"/>
      <c r="DRO47" s="987"/>
      <c r="DRP47" s="987"/>
      <c r="DRQ47" s="987"/>
      <c r="DRR47" s="987"/>
      <c r="DRS47" s="987"/>
      <c r="DRT47" s="987"/>
      <c r="DRU47" s="987"/>
      <c r="DRV47" s="987"/>
      <c r="DRW47" s="987"/>
      <c r="DRX47" s="987"/>
      <c r="DRY47" s="987"/>
      <c r="DRZ47" s="987"/>
      <c r="DSA47" s="987"/>
      <c r="DSB47" s="987"/>
      <c r="DSC47" s="987"/>
      <c r="DSD47" s="987"/>
      <c r="DSE47" s="987"/>
      <c r="DSF47" s="987"/>
      <c r="DSG47" s="987"/>
      <c r="DSH47" s="987"/>
      <c r="DSI47" s="987"/>
      <c r="DSJ47" s="987"/>
      <c r="DSK47" s="987"/>
      <c r="DSL47" s="987"/>
      <c r="DSM47" s="987"/>
      <c r="DSN47" s="987"/>
      <c r="DSO47" s="987"/>
      <c r="DSP47" s="987"/>
      <c r="DSQ47" s="987"/>
      <c r="DSR47" s="987"/>
      <c r="DSS47" s="987"/>
      <c r="DST47" s="987"/>
      <c r="DSU47" s="987"/>
      <c r="DSV47" s="987"/>
      <c r="DSW47" s="987"/>
      <c r="DSX47" s="987"/>
      <c r="DSY47" s="987"/>
      <c r="DSZ47" s="987"/>
      <c r="DTA47" s="987"/>
      <c r="DTB47" s="987"/>
      <c r="DTC47" s="987"/>
      <c r="DTD47" s="987"/>
      <c r="DTE47" s="987"/>
      <c r="DTF47" s="987"/>
      <c r="DTG47" s="987"/>
      <c r="DTH47" s="987"/>
      <c r="DTI47" s="987"/>
      <c r="DTJ47" s="987"/>
      <c r="DTK47" s="987"/>
      <c r="DTL47" s="987"/>
      <c r="DTM47" s="987"/>
      <c r="DTN47" s="987"/>
      <c r="DTO47" s="987"/>
      <c r="DTP47" s="987"/>
      <c r="DTQ47" s="987"/>
      <c r="DTR47" s="987"/>
      <c r="DTS47" s="987"/>
      <c r="DTT47" s="987"/>
      <c r="DTU47" s="987"/>
      <c r="DTV47" s="987"/>
      <c r="DTW47" s="987"/>
      <c r="DTX47" s="987"/>
      <c r="DTY47" s="987"/>
      <c r="DTZ47" s="987"/>
      <c r="DUA47" s="987"/>
      <c r="DUB47" s="987"/>
      <c r="DUC47" s="987"/>
      <c r="DUD47" s="987"/>
      <c r="DUE47" s="987"/>
      <c r="DUF47" s="987"/>
      <c r="DUG47" s="987"/>
      <c r="DUH47" s="987"/>
      <c r="DUI47" s="987"/>
      <c r="DUJ47" s="987"/>
      <c r="DUK47" s="987"/>
      <c r="DUL47" s="987"/>
      <c r="DUM47" s="987"/>
      <c r="DUN47" s="987"/>
      <c r="DUO47" s="987"/>
      <c r="DUP47" s="987"/>
      <c r="DUQ47" s="987"/>
      <c r="DUR47" s="987"/>
      <c r="DUS47" s="987"/>
      <c r="DUT47" s="987"/>
      <c r="DUU47" s="987"/>
      <c r="DUV47" s="987"/>
      <c r="DUW47" s="987"/>
      <c r="DUX47" s="987"/>
      <c r="DUY47" s="987"/>
      <c r="DUZ47" s="987"/>
      <c r="DVA47" s="987"/>
      <c r="DVB47" s="987"/>
      <c r="DVC47" s="987"/>
      <c r="DVD47" s="987"/>
      <c r="DVE47" s="987"/>
      <c r="DVF47" s="987"/>
      <c r="DVG47" s="987"/>
      <c r="DVH47" s="987"/>
      <c r="DVI47" s="987"/>
      <c r="DVJ47" s="987"/>
      <c r="DVK47" s="987"/>
      <c r="DVL47" s="987"/>
      <c r="DVM47" s="987"/>
      <c r="DVN47" s="987"/>
      <c r="DVO47" s="987"/>
      <c r="DVP47" s="987"/>
      <c r="DVQ47" s="987"/>
      <c r="DVR47" s="987"/>
      <c r="DVS47" s="987"/>
      <c r="DVT47" s="987"/>
      <c r="DVU47" s="987"/>
      <c r="DVV47" s="987"/>
      <c r="DVW47" s="987"/>
      <c r="DVX47" s="987"/>
      <c r="DVY47" s="987"/>
      <c r="DVZ47" s="987"/>
      <c r="DWA47" s="987"/>
      <c r="DWB47" s="987"/>
      <c r="DWC47" s="987"/>
      <c r="DWD47" s="987"/>
      <c r="DWE47" s="987"/>
      <c r="DWF47" s="987"/>
      <c r="DWG47" s="987"/>
      <c r="DWH47" s="987"/>
      <c r="DWI47" s="987"/>
      <c r="DWJ47" s="987"/>
      <c r="DWK47" s="987"/>
      <c r="DWL47" s="987"/>
      <c r="DWM47" s="987"/>
      <c r="DWN47" s="987"/>
      <c r="DWO47" s="987"/>
      <c r="DWP47" s="987"/>
      <c r="DWQ47" s="987"/>
      <c r="DWR47" s="987"/>
      <c r="DWS47" s="987"/>
      <c r="DWT47" s="987"/>
      <c r="DWU47" s="987"/>
      <c r="DWV47" s="987"/>
      <c r="DWW47" s="987"/>
      <c r="DWX47" s="987"/>
      <c r="DWY47" s="987"/>
      <c r="DWZ47" s="987"/>
      <c r="DXA47" s="987"/>
      <c r="DXB47" s="987"/>
      <c r="DXC47" s="987"/>
      <c r="DXD47" s="987"/>
      <c r="DXE47" s="987"/>
      <c r="DXF47" s="987"/>
      <c r="DXG47" s="987"/>
      <c r="DXH47" s="987"/>
      <c r="DXI47" s="987"/>
      <c r="DXJ47" s="987"/>
      <c r="DXK47" s="987"/>
      <c r="DXL47" s="987"/>
      <c r="DXM47" s="987"/>
      <c r="DXN47" s="987"/>
      <c r="DXO47" s="987"/>
      <c r="DXP47" s="987"/>
      <c r="DXQ47" s="987"/>
      <c r="DXR47" s="987"/>
      <c r="DXS47" s="987"/>
      <c r="DXT47" s="987"/>
      <c r="DXU47" s="987"/>
      <c r="DXV47" s="987"/>
      <c r="DXW47" s="987"/>
      <c r="DXX47" s="987"/>
      <c r="DXY47" s="987"/>
      <c r="DXZ47" s="987"/>
      <c r="DYA47" s="987"/>
      <c r="DYB47" s="987"/>
      <c r="DYC47" s="987"/>
      <c r="DYD47" s="987"/>
      <c r="DYE47" s="987"/>
      <c r="DYF47" s="987"/>
      <c r="DYG47" s="987"/>
      <c r="DYH47" s="987"/>
      <c r="DYI47" s="987"/>
      <c r="DYJ47" s="987"/>
      <c r="DYK47" s="987"/>
      <c r="DYL47" s="987"/>
      <c r="DYM47" s="987"/>
      <c r="DYN47" s="987"/>
      <c r="DYO47" s="987"/>
      <c r="DYP47" s="987"/>
      <c r="DYQ47" s="987"/>
      <c r="DYR47" s="987"/>
      <c r="DYS47" s="987"/>
      <c r="DYT47" s="987"/>
      <c r="DYU47" s="987"/>
      <c r="DYV47" s="987"/>
      <c r="DYW47" s="987"/>
      <c r="DYX47" s="987"/>
      <c r="DYY47" s="987"/>
      <c r="DYZ47" s="987"/>
      <c r="DZA47" s="987"/>
      <c r="DZB47" s="987"/>
      <c r="DZC47" s="987"/>
      <c r="DZD47" s="987"/>
      <c r="DZE47" s="987"/>
      <c r="DZF47" s="987"/>
      <c r="DZG47" s="987"/>
      <c r="DZH47" s="987"/>
      <c r="DZI47" s="987"/>
      <c r="DZJ47" s="987"/>
      <c r="DZK47" s="987"/>
      <c r="DZL47" s="987"/>
      <c r="DZM47" s="987"/>
      <c r="DZN47" s="987"/>
      <c r="DZO47" s="987"/>
      <c r="DZP47" s="987"/>
      <c r="DZQ47" s="987"/>
      <c r="DZR47" s="987"/>
      <c r="DZS47" s="987"/>
      <c r="DZT47" s="987"/>
      <c r="DZU47" s="987"/>
      <c r="DZV47" s="987"/>
      <c r="DZW47" s="987"/>
      <c r="DZX47" s="987"/>
      <c r="DZY47" s="987"/>
      <c r="DZZ47" s="987"/>
      <c r="EAA47" s="987"/>
      <c r="EAB47" s="987"/>
      <c r="EAC47" s="987"/>
      <c r="EAD47" s="987"/>
      <c r="EAE47" s="987"/>
      <c r="EAF47" s="987"/>
      <c r="EAG47" s="987"/>
      <c r="EAH47" s="987"/>
      <c r="EAI47" s="987"/>
      <c r="EAJ47" s="987"/>
      <c r="EAK47" s="987"/>
      <c r="EAL47" s="987"/>
      <c r="EAM47" s="987"/>
      <c r="EAN47" s="987"/>
      <c r="EAO47" s="987"/>
      <c r="EAP47" s="987"/>
      <c r="EAQ47" s="987"/>
      <c r="EAR47" s="987"/>
      <c r="EAS47" s="987"/>
      <c r="EAT47" s="987"/>
      <c r="EAU47" s="987"/>
      <c r="EAV47" s="987"/>
      <c r="EAW47" s="987"/>
      <c r="EAX47" s="987"/>
      <c r="EAY47" s="987"/>
      <c r="EAZ47" s="987"/>
      <c r="EBA47" s="987"/>
      <c r="EBB47" s="987"/>
      <c r="EBC47" s="987"/>
      <c r="EBD47" s="987"/>
      <c r="EBE47" s="987"/>
      <c r="EBF47" s="987"/>
      <c r="EBG47" s="987"/>
      <c r="EBH47" s="987"/>
      <c r="EBI47" s="987"/>
      <c r="EBJ47" s="987"/>
      <c r="EBK47" s="987"/>
      <c r="EBL47" s="987"/>
      <c r="EBM47" s="987"/>
      <c r="EBN47" s="987"/>
      <c r="EBO47" s="987"/>
      <c r="EBP47" s="987"/>
      <c r="EBQ47" s="987"/>
      <c r="EBR47" s="987"/>
      <c r="EBS47" s="987"/>
      <c r="EBT47" s="987"/>
      <c r="EBU47" s="987"/>
      <c r="EBV47" s="987"/>
      <c r="EBW47" s="987"/>
      <c r="EBX47" s="987"/>
      <c r="EBY47" s="987"/>
      <c r="EBZ47" s="987"/>
      <c r="ECA47" s="987"/>
      <c r="ECB47" s="987"/>
      <c r="ECC47" s="987"/>
      <c r="ECD47" s="987"/>
      <c r="ECE47" s="987"/>
      <c r="ECF47" s="987"/>
      <c r="ECG47" s="987"/>
      <c r="ECH47" s="987"/>
      <c r="ECI47" s="987"/>
      <c r="ECJ47" s="987"/>
      <c r="ECK47" s="987"/>
      <c r="ECL47" s="987"/>
      <c r="ECM47" s="987"/>
      <c r="ECN47" s="987"/>
      <c r="ECO47" s="987"/>
      <c r="ECP47" s="987"/>
      <c r="ECQ47" s="987"/>
      <c r="ECR47" s="987"/>
      <c r="ECS47" s="987"/>
      <c r="ECT47" s="987"/>
      <c r="ECU47" s="987"/>
      <c r="ECV47" s="987"/>
      <c r="ECW47" s="987"/>
      <c r="ECX47" s="987"/>
      <c r="ECY47" s="987"/>
      <c r="ECZ47" s="987"/>
      <c r="EDA47" s="987"/>
      <c r="EDB47" s="987"/>
      <c r="EDC47" s="987"/>
      <c r="EDD47" s="987"/>
      <c r="EDE47" s="987"/>
      <c r="EDF47" s="987"/>
      <c r="EDG47" s="987"/>
      <c r="EDH47" s="987"/>
      <c r="EDI47" s="987"/>
      <c r="EDJ47" s="987"/>
      <c r="EDK47" s="987"/>
      <c r="EDL47" s="987"/>
      <c r="EDM47" s="987"/>
      <c r="EDN47" s="987"/>
      <c r="EDO47" s="987"/>
      <c r="EDP47" s="987"/>
      <c r="EDQ47" s="987"/>
      <c r="EDR47" s="987"/>
      <c r="EDS47" s="987"/>
      <c r="EDT47" s="987"/>
      <c r="EDU47" s="987"/>
      <c r="EDV47" s="987"/>
      <c r="EDW47" s="987"/>
      <c r="EDX47" s="987"/>
      <c r="EDY47" s="987"/>
      <c r="EDZ47" s="987"/>
      <c r="EEA47" s="987"/>
      <c r="EEB47" s="987"/>
      <c r="EEC47" s="987"/>
      <c r="EED47" s="987"/>
      <c r="EEE47" s="987"/>
      <c r="EEF47" s="987"/>
      <c r="EEG47" s="987"/>
      <c r="EEH47" s="987"/>
      <c r="EEI47" s="987"/>
      <c r="EEJ47" s="987"/>
      <c r="EEK47" s="987"/>
      <c r="EEL47" s="987"/>
      <c r="EEM47" s="987"/>
      <c r="EEN47" s="987"/>
      <c r="EEO47" s="987"/>
      <c r="EEP47" s="987"/>
      <c r="EEQ47" s="987"/>
      <c r="EER47" s="987"/>
      <c r="EES47" s="987"/>
      <c r="EET47" s="987"/>
      <c r="EEU47" s="987"/>
      <c r="EEV47" s="987"/>
      <c r="EEW47" s="987"/>
      <c r="EEX47" s="987"/>
      <c r="EEY47" s="987"/>
      <c r="EEZ47" s="987"/>
      <c r="EFA47" s="987"/>
      <c r="EFB47" s="987"/>
      <c r="EFC47" s="987"/>
      <c r="EFD47" s="987"/>
      <c r="EFE47" s="987"/>
      <c r="EFF47" s="987"/>
      <c r="EFG47" s="987"/>
      <c r="EFH47" s="987"/>
      <c r="EFI47" s="987"/>
      <c r="EFJ47" s="987"/>
      <c r="EFK47" s="987"/>
      <c r="EFL47" s="987"/>
      <c r="EFM47" s="987"/>
      <c r="EFN47" s="987"/>
      <c r="EFO47" s="987"/>
      <c r="EFP47" s="987"/>
      <c r="EFQ47" s="987"/>
      <c r="EFR47" s="987"/>
      <c r="EFS47" s="987"/>
      <c r="EFT47" s="987"/>
      <c r="EFU47" s="987"/>
      <c r="EFV47" s="987"/>
      <c r="EFW47" s="987"/>
      <c r="EFX47" s="987"/>
      <c r="EFY47" s="987"/>
      <c r="EFZ47" s="987"/>
      <c r="EGA47" s="987"/>
      <c r="EGB47" s="987"/>
      <c r="EGC47" s="987"/>
      <c r="EGD47" s="987"/>
      <c r="EGE47" s="987"/>
      <c r="EGF47" s="987"/>
      <c r="EGG47" s="987"/>
      <c r="EGH47" s="987"/>
      <c r="EGI47" s="987"/>
      <c r="EGJ47" s="987"/>
      <c r="EGK47" s="987"/>
      <c r="EGL47" s="987"/>
      <c r="EGM47" s="987"/>
      <c r="EGN47" s="987"/>
      <c r="EGO47" s="987"/>
      <c r="EGP47" s="987"/>
      <c r="EGQ47" s="987"/>
      <c r="EGR47" s="987"/>
      <c r="EGS47" s="987"/>
      <c r="EGT47" s="987"/>
      <c r="EGU47" s="987"/>
      <c r="EGV47" s="987"/>
      <c r="EGW47" s="987"/>
      <c r="EGX47" s="987"/>
      <c r="EGY47" s="987"/>
      <c r="EGZ47" s="987"/>
      <c r="EHA47" s="987"/>
      <c r="EHB47" s="987"/>
      <c r="EHC47" s="987"/>
      <c r="EHD47" s="987"/>
      <c r="EHE47" s="987"/>
      <c r="EHF47" s="987"/>
      <c r="EHG47" s="987"/>
      <c r="EHH47" s="987"/>
      <c r="EHI47" s="987"/>
      <c r="EHJ47" s="987"/>
      <c r="EHK47" s="987"/>
      <c r="EHL47" s="987"/>
      <c r="EHM47" s="987"/>
      <c r="EHN47" s="987"/>
      <c r="EHO47" s="987"/>
      <c r="EHP47" s="987"/>
      <c r="EHQ47" s="987"/>
      <c r="EHR47" s="987"/>
      <c r="EHS47" s="987"/>
      <c r="EHT47" s="987"/>
      <c r="EHU47" s="987"/>
      <c r="EHV47" s="987"/>
      <c r="EHW47" s="987"/>
      <c r="EHX47" s="987"/>
      <c r="EHY47" s="987"/>
      <c r="EHZ47" s="987"/>
      <c r="EIA47" s="987"/>
      <c r="EIB47" s="987"/>
      <c r="EIC47" s="987"/>
      <c r="EID47" s="987"/>
      <c r="EIE47" s="987"/>
      <c r="EIF47" s="987"/>
      <c r="EIG47" s="987"/>
      <c r="EIH47" s="987"/>
      <c r="EII47" s="987"/>
      <c r="EIJ47" s="987"/>
      <c r="EIK47" s="987"/>
      <c r="EIL47" s="987"/>
      <c r="EIM47" s="987"/>
      <c r="EIN47" s="987"/>
      <c r="EIO47" s="987"/>
      <c r="EIP47" s="987"/>
      <c r="EIQ47" s="987"/>
      <c r="EIR47" s="987"/>
      <c r="EIS47" s="987"/>
      <c r="EIT47" s="987"/>
      <c r="EIU47" s="987"/>
      <c r="EIV47" s="987"/>
      <c r="EIW47" s="987"/>
      <c r="EIX47" s="987"/>
      <c r="EIY47" s="987"/>
      <c r="EIZ47" s="987"/>
      <c r="EJA47" s="987"/>
      <c r="EJB47" s="987"/>
      <c r="EJC47" s="987"/>
      <c r="EJD47" s="987"/>
      <c r="EJE47" s="987"/>
      <c r="EJF47" s="987"/>
      <c r="EJG47" s="987"/>
      <c r="EJH47" s="987"/>
      <c r="EJI47" s="987"/>
      <c r="EJJ47" s="987"/>
      <c r="EJK47" s="987"/>
      <c r="EJL47" s="987"/>
      <c r="EJM47" s="987"/>
      <c r="EJN47" s="987"/>
      <c r="EJO47" s="987"/>
      <c r="EJP47" s="987"/>
      <c r="EJQ47" s="987"/>
      <c r="EJR47" s="987"/>
      <c r="EJS47" s="987"/>
      <c r="EJT47" s="987"/>
      <c r="EJU47" s="987"/>
      <c r="EJV47" s="987"/>
      <c r="EJW47" s="987"/>
      <c r="EJX47" s="987"/>
      <c r="EJY47" s="987"/>
      <c r="EJZ47" s="987"/>
      <c r="EKA47" s="987"/>
      <c r="EKB47" s="987"/>
      <c r="EKC47" s="987"/>
      <c r="EKD47" s="987"/>
      <c r="EKE47" s="987"/>
      <c r="EKF47" s="987"/>
      <c r="EKG47" s="987"/>
      <c r="EKH47" s="987"/>
      <c r="EKI47" s="987"/>
      <c r="EKJ47" s="987"/>
      <c r="EKK47" s="987"/>
      <c r="EKL47" s="987"/>
      <c r="EKM47" s="987"/>
      <c r="EKN47" s="987"/>
      <c r="EKO47" s="987"/>
      <c r="EKP47" s="987"/>
      <c r="EKQ47" s="987"/>
      <c r="EKR47" s="987"/>
      <c r="EKS47" s="987"/>
      <c r="EKT47" s="987"/>
      <c r="EKU47" s="987"/>
      <c r="EKV47" s="987"/>
      <c r="EKW47" s="987"/>
      <c r="EKX47" s="987"/>
      <c r="EKY47" s="987"/>
      <c r="EKZ47" s="987"/>
      <c r="ELA47" s="987"/>
      <c r="ELB47" s="987"/>
      <c r="ELC47" s="987"/>
      <c r="ELD47" s="987"/>
      <c r="ELE47" s="987"/>
      <c r="ELF47" s="987"/>
      <c r="ELG47" s="987"/>
      <c r="ELH47" s="987"/>
      <c r="ELI47" s="987"/>
      <c r="ELJ47" s="987"/>
      <c r="ELK47" s="987"/>
      <c r="ELL47" s="987"/>
      <c r="ELM47" s="987"/>
      <c r="ELN47" s="987"/>
      <c r="ELO47" s="987"/>
      <c r="ELP47" s="987"/>
      <c r="ELQ47" s="987"/>
      <c r="ELR47" s="987"/>
      <c r="ELS47" s="987"/>
      <c r="ELT47" s="987"/>
      <c r="ELU47" s="987"/>
      <c r="ELV47" s="987"/>
      <c r="ELW47" s="987"/>
      <c r="ELX47" s="987"/>
      <c r="ELY47" s="987"/>
      <c r="ELZ47" s="987"/>
      <c r="EMA47" s="987"/>
      <c r="EMB47" s="987"/>
      <c r="EMC47" s="987"/>
      <c r="EMD47" s="987"/>
      <c r="EME47" s="987"/>
      <c r="EMF47" s="987"/>
      <c r="EMG47" s="987"/>
      <c r="EMH47" s="987"/>
      <c r="EMI47" s="987"/>
      <c r="EMJ47" s="987"/>
      <c r="EMK47" s="987"/>
      <c r="EML47" s="987"/>
      <c r="EMM47" s="987"/>
      <c r="EMN47" s="987"/>
      <c r="EMO47" s="987"/>
      <c r="EMP47" s="987"/>
      <c r="EMQ47" s="987"/>
      <c r="EMR47" s="987"/>
      <c r="EMS47" s="987"/>
      <c r="EMT47" s="987"/>
      <c r="EMU47" s="987"/>
      <c r="EMV47" s="987"/>
      <c r="EMW47" s="987"/>
      <c r="EMX47" s="987"/>
      <c r="EMY47" s="987"/>
      <c r="EMZ47" s="987"/>
      <c r="ENA47" s="987"/>
      <c r="ENB47" s="987"/>
      <c r="ENC47" s="987"/>
      <c r="END47" s="987"/>
      <c r="ENE47" s="987"/>
      <c r="ENF47" s="987"/>
      <c r="ENG47" s="987"/>
      <c r="ENH47" s="987"/>
      <c r="ENI47" s="987"/>
      <c r="ENJ47" s="987"/>
      <c r="ENK47" s="987"/>
      <c r="ENL47" s="987"/>
      <c r="ENM47" s="987"/>
      <c r="ENN47" s="987"/>
      <c r="ENO47" s="987"/>
      <c r="ENP47" s="987"/>
      <c r="ENQ47" s="987"/>
      <c r="ENR47" s="987"/>
      <c r="ENS47" s="987"/>
      <c r="ENT47" s="987"/>
      <c r="ENU47" s="987"/>
      <c r="ENV47" s="987"/>
      <c r="ENW47" s="987"/>
      <c r="ENX47" s="987"/>
      <c r="ENY47" s="987"/>
      <c r="ENZ47" s="987"/>
      <c r="EOA47" s="987"/>
      <c r="EOB47" s="987"/>
      <c r="EOC47" s="987"/>
      <c r="EOD47" s="987"/>
      <c r="EOE47" s="987"/>
      <c r="EOF47" s="987"/>
      <c r="EOG47" s="987"/>
      <c r="EOH47" s="987"/>
      <c r="EOI47" s="987"/>
      <c r="EOJ47" s="987"/>
      <c r="EOK47" s="987"/>
      <c r="EOL47" s="987"/>
      <c r="EOM47" s="987"/>
      <c r="EON47" s="987"/>
      <c r="EOO47" s="987"/>
      <c r="EOP47" s="987"/>
      <c r="EOQ47" s="987"/>
      <c r="EOR47" s="987"/>
      <c r="EOS47" s="987"/>
      <c r="EOT47" s="987"/>
      <c r="EOU47" s="987"/>
      <c r="EOV47" s="987"/>
      <c r="EOW47" s="987"/>
      <c r="EOX47" s="987"/>
      <c r="EOY47" s="987"/>
      <c r="EOZ47" s="987"/>
      <c r="EPA47" s="987"/>
      <c r="EPB47" s="987"/>
      <c r="EPC47" s="987"/>
      <c r="EPD47" s="987"/>
      <c r="EPE47" s="987"/>
      <c r="EPF47" s="987"/>
      <c r="EPG47" s="987"/>
      <c r="EPH47" s="987"/>
      <c r="EPI47" s="987"/>
      <c r="EPJ47" s="987"/>
      <c r="EPK47" s="987"/>
      <c r="EPL47" s="987"/>
      <c r="EPM47" s="987"/>
      <c r="EPN47" s="987"/>
      <c r="EPO47" s="987"/>
      <c r="EPP47" s="987"/>
      <c r="EPQ47" s="987"/>
      <c r="EPR47" s="987"/>
      <c r="EPS47" s="987"/>
      <c r="EPT47" s="987"/>
      <c r="EPU47" s="987"/>
      <c r="EPV47" s="987"/>
      <c r="EPW47" s="987"/>
      <c r="EPX47" s="987"/>
      <c r="EPY47" s="987"/>
      <c r="EPZ47" s="987"/>
      <c r="EQA47" s="987"/>
      <c r="EQB47" s="987"/>
      <c r="EQC47" s="987"/>
      <c r="EQD47" s="987"/>
      <c r="EQE47" s="987"/>
      <c r="EQF47" s="987"/>
      <c r="EQG47" s="987"/>
      <c r="EQH47" s="987"/>
      <c r="EQI47" s="987"/>
      <c r="EQJ47" s="987"/>
      <c r="EQK47" s="987"/>
      <c r="EQL47" s="987"/>
      <c r="EQM47" s="987"/>
      <c r="EQN47" s="987"/>
      <c r="EQO47" s="987"/>
      <c r="EQP47" s="987"/>
      <c r="EQQ47" s="987"/>
      <c r="EQR47" s="987"/>
      <c r="EQS47" s="987"/>
      <c r="EQT47" s="987"/>
      <c r="EQU47" s="987"/>
      <c r="EQV47" s="987"/>
      <c r="EQW47" s="987"/>
      <c r="EQX47" s="987"/>
      <c r="EQY47" s="987"/>
      <c r="EQZ47" s="987"/>
      <c r="ERA47" s="987"/>
      <c r="ERB47" s="987"/>
      <c r="ERC47" s="987"/>
      <c r="ERD47" s="987"/>
      <c r="ERE47" s="987"/>
      <c r="ERF47" s="987"/>
      <c r="ERG47" s="987"/>
      <c r="ERH47" s="987"/>
      <c r="ERI47" s="987"/>
      <c r="ERJ47" s="987"/>
      <c r="ERK47" s="987"/>
      <c r="ERL47" s="987"/>
      <c r="ERM47" s="987"/>
      <c r="ERN47" s="987"/>
      <c r="ERO47" s="987"/>
      <c r="ERP47" s="987"/>
      <c r="ERQ47" s="987"/>
      <c r="ERR47" s="987"/>
      <c r="ERS47" s="987"/>
      <c r="ERT47" s="987"/>
      <c r="ERU47" s="987"/>
      <c r="ERV47" s="987"/>
      <c r="ERW47" s="987"/>
      <c r="ERX47" s="987"/>
      <c r="ERY47" s="987"/>
      <c r="ERZ47" s="987"/>
      <c r="ESA47" s="987"/>
      <c r="ESB47" s="987"/>
      <c r="ESC47" s="987"/>
      <c r="ESD47" s="987"/>
      <c r="ESE47" s="987"/>
      <c r="ESF47" s="987"/>
      <c r="ESG47" s="987"/>
      <c r="ESH47" s="987"/>
      <c r="ESI47" s="987"/>
      <c r="ESJ47" s="987"/>
      <c r="ESK47" s="987"/>
      <c r="ESL47" s="987"/>
      <c r="ESM47" s="987"/>
      <c r="ESN47" s="987"/>
      <c r="ESO47" s="987"/>
      <c r="ESP47" s="987"/>
      <c r="ESQ47" s="987"/>
      <c r="ESR47" s="987"/>
      <c r="ESS47" s="987"/>
      <c r="EST47" s="987"/>
      <c r="ESU47" s="987"/>
      <c r="ESV47" s="987"/>
      <c r="ESW47" s="987"/>
      <c r="ESX47" s="987"/>
      <c r="ESY47" s="987"/>
      <c r="ESZ47" s="987"/>
      <c r="ETA47" s="987"/>
      <c r="ETB47" s="987"/>
      <c r="ETC47" s="987"/>
      <c r="ETD47" s="987"/>
      <c r="ETE47" s="987"/>
      <c r="ETF47" s="987"/>
      <c r="ETG47" s="987"/>
      <c r="ETH47" s="987"/>
      <c r="ETI47" s="987"/>
      <c r="ETJ47" s="987"/>
      <c r="ETK47" s="987"/>
      <c r="ETL47" s="987"/>
      <c r="ETM47" s="987"/>
      <c r="ETN47" s="987"/>
      <c r="ETO47" s="987"/>
      <c r="ETP47" s="987"/>
      <c r="ETQ47" s="987"/>
      <c r="ETR47" s="987"/>
      <c r="ETS47" s="987"/>
      <c r="ETT47" s="987"/>
      <c r="ETU47" s="987"/>
      <c r="ETV47" s="987"/>
      <c r="ETW47" s="987"/>
      <c r="ETX47" s="987"/>
      <c r="ETY47" s="987"/>
      <c r="ETZ47" s="987"/>
      <c r="EUA47" s="987"/>
      <c r="EUB47" s="987"/>
      <c r="EUC47" s="987"/>
      <c r="EUD47" s="987"/>
      <c r="EUE47" s="987"/>
      <c r="EUF47" s="987"/>
      <c r="EUG47" s="987"/>
      <c r="EUH47" s="987"/>
      <c r="EUI47" s="987"/>
      <c r="EUJ47" s="987"/>
      <c r="EUK47" s="987"/>
      <c r="EUL47" s="987"/>
      <c r="EUM47" s="987"/>
      <c r="EUN47" s="987"/>
      <c r="EUO47" s="987"/>
      <c r="EUP47" s="987"/>
      <c r="EUQ47" s="987"/>
      <c r="EUR47" s="987"/>
      <c r="EUS47" s="987"/>
      <c r="EUT47" s="987"/>
      <c r="EUU47" s="987"/>
      <c r="EUV47" s="987"/>
      <c r="EUW47" s="987"/>
      <c r="EUX47" s="987"/>
      <c r="EUY47" s="987"/>
      <c r="EUZ47" s="987"/>
      <c r="EVA47" s="987"/>
      <c r="EVB47" s="987"/>
      <c r="EVC47" s="987"/>
      <c r="EVD47" s="987"/>
      <c r="EVE47" s="987"/>
      <c r="EVF47" s="987"/>
      <c r="EVG47" s="987"/>
      <c r="EVH47" s="987"/>
      <c r="EVI47" s="987"/>
      <c r="EVJ47" s="987"/>
      <c r="EVK47" s="987"/>
      <c r="EVL47" s="987"/>
      <c r="EVM47" s="987"/>
      <c r="EVN47" s="987"/>
      <c r="EVO47" s="987"/>
      <c r="EVP47" s="987"/>
      <c r="EVQ47" s="987"/>
      <c r="EVR47" s="987"/>
      <c r="EVS47" s="987"/>
      <c r="EVT47" s="987"/>
      <c r="EVU47" s="987"/>
      <c r="EVV47" s="987"/>
      <c r="EVW47" s="987"/>
      <c r="EVX47" s="987"/>
      <c r="EVY47" s="987"/>
      <c r="EVZ47" s="987"/>
      <c r="EWA47" s="987"/>
      <c r="EWB47" s="987"/>
      <c r="EWC47" s="987"/>
      <c r="EWD47" s="987"/>
      <c r="EWE47" s="987"/>
      <c r="EWF47" s="987"/>
      <c r="EWG47" s="987"/>
      <c r="EWH47" s="987"/>
      <c r="EWI47" s="987"/>
      <c r="EWJ47" s="987"/>
      <c r="EWK47" s="987"/>
      <c r="EWL47" s="987"/>
      <c r="EWM47" s="987"/>
      <c r="EWN47" s="987"/>
      <c r="EWO47" s="987"/>
      <c r="EWP47" s="987"/>
      <c r="EWQ47" s="987"/>
      <c r="EWR47" s="987"/>
      <c r="EWS47" s="987"/>
      <c r="EWT47" s="987"/>
      <c r="EWU47" s="987"/>
      <c r="EWV47" s="987"/>
      <c r="EWW47" s="987"/>
      <c r="EWX47" s="987"/>
      <c r="EWY47" s="987"/>
      <c r="EWZ47" s="987"/>
      <c r="EXA47" s="987"/>
      <c r="EXB47" s="987"/>
      <c r="EXC47" s="987"/>
      <c r="EXD47" s="987"/>
      <c r="EXE47" s="987"/>
      <c r="EXF47" s="987"/>
      <c r="EXG47" s="987"/>
      <c r="EXH47" s="987"/>
      <c r="EXI47" s="987"/>
      <c r="EXJ47" s="987"/>
      <c r="EXK47" s="987"/>
      <c r="EXL47" s="987"/>
      <c r="EXM47" s="987"/>
      <c r="EXN47" s="987"/>
      <c r="EXO47" s="987"/>
      <c r="EXP47" s="987"/>
      <c r="EXQ47" s="987"/>
      <c r="EXR47" s="987"/>
      <c r="EXS47" s="987"/>
      <c r="EXT47" s="987"/>
      <c r="EXU47" s="987"/>
      <c r="EXV47" s="987"/>
      <c r="EXW47" s="987"/>
      <c r="EXX47" s="987"/>
      <c r="EXY47" s="987"/>
      <c r="EXZ47" s="987"/>
      <c r="EYA47" s="987"/>
      <c r="EYB47" s="987"/>
      <c r="EYC47" s="987"/>
      <c r="EYD47" s="987"/>
      <c r="EYE47" s="987"/>
      <c r="EYF47" s="987"/>
      <c r="EYG47" s="987"/>
      <c r="EYH47" s="987"/>
      <c r="EYI47" s="987"/>
      <c r="EYJ47" s="987"/>
      <c r="EYK47" s="987"/>
      <c r="EYL47" s="987"/>
      <c r="EYM47" s="987"/>
      <c r="EYN47" s="987"/>
      <c r="EYO47" s="987"/>
      <c r="EYP47" s="987"/>
      <c r="EYQ47" s="987"/>
      <c r="EYR47" s="987"/>
      <c r="EYS47" s="987"/>
      <c r="EYT47" s="987"/>
      <c r="EYU47" s="987"/>
      <c r="EYV47" s="987"/>
      <c r="EYW47" s="987"/>
      <c r="EYX47" s="987"/>
      <c r="EYY47" s="987"/>
      <c r="EYZ47" s="987"/>
      <c r="EZA47" s="987"/>
      <c r="EZB47" s="987"/>
      <c r="EZC47" s="987"/>
      <c r="EZD47" s="987"/>
      <c r="EZE47" s="987"/>
      <c r="EZF47" s="987"/>
      <c r="EZG47" s="987"/>
      <c r="EZH47" s="987"/>
      <c r="EZI47" s="987"/>
      <c r="EZJ47" s="987"/>
      <c r="EZK47" s="987"/>
      <c r="EZL47" s="987"/>
      <c r="EZM47" s="987"/>
      <c r="EZN47" s="987"/>
      <c r="EZO47" s="987"/>
      <c r="EZP47" s="987"/>
      <c r="EZQ47" s="987"/>
      <c r="EZR47" s="987"/>
      <c r="EZS47" s="987"/>
      <c r="EZT47" s="987"/>
      <c r="EZU47" s="987"/>
      <c r="EZV47" s="987"/>
      <c r="EZW47" s="987"/>
      <c r="EZX47" s="987"/>
      <c r="EZY47" s="987"/>
      <c r="EZZ47" s="987"/>
      <c r="FAA47" s="987"/>
      <c r="FAB47" s="987"/>
      <c r="FAC47" s="987"/>
      <c r="FAD47" s="987"/>
      <c r="FAE47" s="987"/>
      <c r="FAF47" s="987"/>
      <c r="FAG47" s="987"/>
      <c r="FAH47" s="987"/>
      <c r="FAI47" s="987"/>
      <c r="FAJ47" s="987"/>
      <c r="FAK47" s="987"/>
      <c r="FAL47" s="987"/>
      <c r="FAM47" s="987"/>
      <c r="FAN47" s="987"/>
      <c r="FAO47" s="987"/>
      <c r="FAP47" s="987"/>
      <c r="FAQ47" s="987"/>
      <c r="FAR47" s="987"/>
      <c r="FAS47" s="987"/>
      <c r="FAT47" s="987"/>
      <c r="FAU47" s="987"/>
      <c r="FAV47" s="987"/>
      <c r="FAW47" s="987"/>
      <c r="FAX47" s="987"/>
      <c r="FAY47" s="987"/>
      <c r="FAZ47" s="987"/>
      <c r="FBA47" s="987"/>
      <c r="FBB47" s="987"/>
      <c r="FBC47" s="987"/>
      <c r="FBD47" s="987"/>
      <c r="FBE47" s="987"/>
      <c r="FBF47" s="987"/>
      <c r="FBG47" s="987"/>
      <c r="FBH47" s="987"/>
      <c r="FBI47" s="987"/>
      <c r="FBJ47" s="987"/>
      <c r="FBK47" s="987"/>
      <c r="FBL47" s="987"/>
      <c r="FBM47" s="987"/>
      <c r="FBN47" s="987"/>
      <c r="FBO47" s="987"/>
      <c r="FBP47" s="987"/>
      <c r="FBQ47" s="987"/>
      <c r="FBR47" s="987"/>
      <c r="FBS47" s="987"/>
      <c r="FBT47" s="987"/>
      <c r="FBU47" s="987"/>
      <c r="FBV47" s="987"/>
      <c r="FBW47" s="987"/>
      <c r="FBX47" s="987"/>
      <c r="FBY47" s="987"/>
      <c r="FBZ47" s="987"/>
      <c r="FCA47" s="987"/>
      <c r="FCB47" s="987"/>
      <c r="FCC47" s="987"/>
      <c r="FCD47" s="987"/>
      <c r="FCE47" s="987"/>
      <c r="FCF47" s="987"/>
      <c r="FCG47" s="987"/>
      <c r="FCH47" s="987"/>
      <c r="FCI47" s="987"/>
      <c r="FCJ47" s="987"/>
      <c r="FCK47" s="987"/>
      <c r="FCL47" s="987"/>
      <c r="FCM47" s="987"/>
      <c r="FCN47" s="987"/>
      <c r="FCO47" s="987"/>
      <c r="FCP47" s="987"/>
      <c r="FCQ47" s="987"/>
      <c r="FCR47" s="987"/>
      <c r="FCS47" s="987"/>
      <c r="FCT47" s="987"/>
      <c r="FCU47" s="987"/>
      <c r="FCV47" s="987"/>
      <c r="FCW47" s="987"/>
      <c r="FCX47" s="987"/>
      <c r="FCY47" s="987"/>
      <c r="FCZ47" s="987"/>
      <c r="FDA47" s="987"/>
      <c r="FDB47" s="987"/>
      <c r="FDC47" s="987"/>
      <c r="FDD47" s="987"/>
      <c r="FDE47" s="987"/>
      <c r="FDF47" s="987"/>
      <c r="FDG47" s="987"/>
      <c r="FDH47" s="987"/>
      <c r="FDI47" s="987"/>
      <c r="FDJ47" s="987"/>
      <c r="FDK47" s="987"/>
      <c r="FDL47" s="987"/>
      <c r="FDM47" s="987"/>
      <c r="FDN47" s="987"/>
      <c r="FDO47" s="987"/>
      <c r="FDP47" s="987"/>
      <c r="FDQ47" s="987"/>
      <c r="FDR47" s="987"/>
      <c r="FDS47" s="987"/>
      <c r="FDT47" s="987"/>
      <c r="FDU47" s="987"/>
      <c r="FDV47" s="987"/>
      <c r="FDW47" s="987"/>
      <c r="FDX47" s="987"/>
      <c r="FDY47" s="987"/>
      <c r="FDZ47" s="987"/>
      <c r="FEA47" s="987"/>
      <c r="FEB47" s="987"/>
      <c r="FEC47" s="987"/>
      <c r="FED47" s="987"/>
      <c r="FEE47" s="987"/>
      <c r="FEF47" s="987"/>
      <c r="FEG47" s="987"/>
      <c r="FEH47" s="987"/>
      <c r="FEI47" s="987"/>
      <c r="FEJ47" s="987"/>
      <c r="FEK47" s="987"/>
      <c r="FEL47" s="987"/>
      <c r="FEM47" s="987"/>
      <c r="FEN47" s="987"/>
      <c r="FEO47" s="987"/>
      <c r="FEP47" s="987"/>
      <c r="FEQ47" s="987"/>
      <c r="FER47" s="987"/>
      <c r="FES47" s="987"/>
      <c r="FET47" s="987"/>
      <c r="FEU47" s="987"/>
      <c r="FEV47" s="987"/>
      <c r="FEW47" s="987"/>
      <c r="FEX47" s="987"/>
      <c r="FEY47" s="987"/>
      <c r="FEZ47" s="987"/>
      <c r="FFA47" s="987"/>
      <c r="FFB47" s="987"/>
      <c r="FFC47" s="987"/>
      <c r="FFD47" s="987"/>
      <c r="FFE47" s="987"/>
      <c r="FFF47" s="987"/>
      <c r="FFG47" s="987"/>
      <c r="FFH47" s="987"/>
      <c r="FFI47" s="987"/>
      <c r="FFJ47" s="987"/>
      <c r="FFK47" s="987"/>
      <c r="FFL47" s="987"/>
      <c r="FFM47" s="987"/>
      <c r="FFN47" s="987"/>
      <c r="FFO47" s="987"/>
      <c r="FFP47" s="987"/>
      <c r="FFQ47" s="987"/>
      <c r="FFR47" s="987"/>
      <c r="FFS47" s="987"/>
      <c r="FFT47" s="987"/>
      <c r="FFU47" s="987"/>
      <c r="FFV47" s="987"/>
      <c r="FFW47" s="987"/>
      <c r="FFX47" s="987"/>
      <c r="FFY47" s="987"/>
      <c r="FFZ47" s="987"/>
      <c r="FGA47" s="987"/>
      <c r="FGB47" s="987"/>
      <c r="FGC47" s="987"/>
      <c r="FGD47" s="987"/>
      <c r="FGE47" s="987"/>
      <c r="FGF47" s="987"/>
      <c r="FGG47" s="987"/>
      <c r="FGH47" s="987"/>
      <c r="FGI47" s="987"/>
      <c r="FGJ47" s="987"/>
      <c r="FGK47" s="987"/>
      <c r="FGL47" s="987"/>
      <c r="FGM47" s="987"/>
      <c r="FGN47" s="987"/>
      <c r="FGO47" s="987"/>
      <c r="FGP47" s="987"/>
      <c r="FGQ47" s="987"/>
      <c r="FGR47" s="987"/>
      <c r="FGS47" s="987"/>
      <c r="FGT47" s="987"/>
      <c r="FGU47" s="987"/>
      <c r="FGV47" s="987"/>
      <c r="FGW47" s="987"/>
      <c r="FGX47" s="987"/>
      <c r="FGY47" s="987"/>
      <c r="FGZ47" s="987"/>
      <c r="FHA47" s="987"/>
      <c r="FHB47" s="987"/>
      <c r="FHC47" s="987"/>
      <c r="FHD47" s="987"/>
      <c r="FHE47" s="987"/>
      <c r="FHF47" s="987"/>
      <c r="FHG47" s="987"/>
      <c r="FHH47" s="987"/>
      <c r="FHI47" s="987"/>
      <c r="FHJ47" s="987"/>
      <c r="FHK47" s="987"/>
      <c r="FHL47" s="987"/>
      <c r="FHM47" s="987"/>
      <c r="FHN47" s="987"/>
      <c r="FHO47" s="987"/>
      <c r="FHP47" s="987"/>
      <c r="FHQ47" s="987"/>
      <c r="FHR47" s="987"/>
      <c r="FHS47" s="987"/>
      <c r="FHT47" s="987"/>
      <c r="FHU47" s="987"/>
      <c r="FHV47" s="987"/>
      <c r="FHW47" s="987"/>
      <c r="FHX47" s="987"/>
      <c r="FHY47" s="987"/>
      <c r="FHZ47" s="987"/>
      <c r="FIA47" s="987"/>
      <c r="FIB47" s="987"/>
      <c r="FIC47" s="987"/>
      <c r="FID47" s="987"/>
      <c r="FIE47" s="987"/>
      <c r="FIF47" s="987"/>
      <c r="FIG47" s="987"/>
      <c r="FIH47" s="987"/>
      <c r="FII47" s="987"/>
      <c r="FIJ47" s="987"/>
      <c r="FIK47" s="987"/>
      <c r="FIL47" s="987"/>
      <c r="FIM47" s="987"/>
      <c r="FIN47" s="987"/>
      <c r="FIO47" s="987"/>
      <c r="FIP47" s="987"/>
      <c r="FIQ47" s="987"/>
      <c r="FIR47" s="987"/>
      <c r="FIS47" s="987"/>
      <c r="FIT47" s="987"/>
      <c r="FIU47" s="987"/>
      <c r="FIV47" s="987"/>
      <c r="FIW47" s="987"/>
      <c r="FIX47" s="987"/>
      <c r="FIY47" s="987"/>
      <c r="FIZ47" s="987"/>
      <c r="FJA47" s="987"/>
      <c r="FJB47" s="987"/>
      <c r="FJC47" s="987"/>
      <c r="FJD47" s="987"/>
      <c r="FJE47" s="987"/>
      <c r="FJF47" s="987"/>
      <c r="FJG47" s="987"/>
      <c r="FJH47" s="987"/>
      <c r="FJI47" s="987"/>
      <c r="FJJ47" s="987"/>
      <c r="FJK47" s="987"/>
      <c r="FJL47" s="987"/>
      <c r="FJM47" s="987"/>
      <c r="FJN47" s="987"/>
      <c r="FJO47" s="987"/>
      <c r="FJP47" s="987"/>
      <c r="FJQ47" s="987"/>
      <c r="FJR47" s="987"/>
      <c r="FJS47" s="987"/>
      <c r="FJT47" s="987"/>
      <c r="FJU47" s="987"/>
      <c r="FJV47" s="987"/>
      <c r="FJW47" s="987"/>
      <c r="FJX47" s="987"/>
      <c r="FJY47" s="987"/>
      <c r="FJZ47" s="987"/>
      <c r="FKA47" s="987"/>
      <c r="FKB47" s="987"/>
      <c r="FKC47" s="987"/>
      <c r="FKD47" s="987"/>
      <c r="FKE47" s="987"/>
      <c r="FKF47" s="987"/>
      <c r="FKG47" s="987"/>
      <c r="FKH47" s="987"/>
      <c r="FKI47" s="987"/>
      <c r="FKJ47" s="987"/>
      <c r="FKK47" s="987"/>
      <c r="FKL47" s="987"/>
      <c r="FKM47" s="987"/>
      <c r="FKN47" s="987"/>
      <c r="FKO47" s="987"/>
      <c r="FKP47" s="987"/>
      <c r="FKQ47" s="987"/>
      <c r="FKR47" s="987"/>
      <c r="FKS47" s="987"/>
      <c r="FKT47" s="987"/>
      <c r="FKU47" s="987"/>
      <c r="FKV47" s="987"/>
      <c r="FKW47" s="987"/>
      <c r="FKX47" s="987"/>
      <c r="FKY47" s="987"/>
      <c r="FKZ47" s="987"/>
      <c r="FLA47" s="987"/>
      <c r="FLB47" s="987"/>
      <c r="FLC47" s="987"/>
      <c r="FLD47" s="987"/>
      <c r="FLE47" s="987"/>
      <c r="FLF47" s="987"/>
      <c r="FLG47" s="987"/>
      <c r="FLH47" s="987"/>
      <c r="FLI47" s="987"/>
      <c r="FLJ47" s="987"/>
      <c r="FLK47" s="987"/>
      <c r="FLL47" s="987"/>
      <c r="FLM47" s="987"/>
      <c r="FLN47" s="987"/>
      <c r="FLO47" s="987"/>
      <c r="FLP47" s="987"/>
      <c r="FLQ47" s="987"/>
      <c r="FLR47" s="987"/>
      <c r="FLS47" s="987"/>
      <c r="FLT47" s="987"/>
      <c r="FLU47" s="987"/>
      <c r="FLV47" s="987"/>
      <c r="FLW47" s="987"/>
      <c r="FLX47" s="987"/>
      <c r="FLY47" s="987"/>
      <c r="FLZ47" s="987"/>
      <c r="FMA47" s="987"/>
      <c r="FMB47" s="987"/>
      <c r="FMC47" s="987"/>
      <c r="FMD47" s="987"/>
      <c r="FME47" s="987"/>
      <c r="FMF47" s="987"/>
      <c r="FMG47" s="987"/>
      <c r="FMH47" s="987"/>
      <c r="FMI47" s="987"/>
      <c r="FMJ47" s="987"/>
      <c r="FMK47" s="987"/>
      <c r="FML47" s="987"/>
      <c r="FMM47" s="987"/>
      <c r="FMN47" s="987"/>
      <c r="FMO47" s="987"/>
      <c r="FMP47" s="987"/>
      <c r="FMQ47" s="987"/>
      <c r="FMR47" s="987"/>
      <c r="FMS47" s="987"/>
      <c r="FMT47" s="987"/>
      <c r="FMU47" s="987"/>
      <c r="FMV47" s="987"/>
      <c r="FMW47" s="987"/>
      <c r="FMX47" s="987"/>
      <c r="FMY47" s="987"/>
      <c r="FMZ47" s="987"/>
      <c r="FNA47" s="987"/>
      <c r="FNB47" s="987"/>
      <c r="FNC47" s="987"/>
      <c r="FND47" s="987"/>
      <c r="FNE47" s="987"/>
      <c r="FNF47" s="987"/>
      <c r="FNG47" s="987"/>
      <c r="FNH47" s="987"/>
      <c r="FNI47" s="987"/>
      <c r="FNJ47" s="987"/>
      <c r="FNK47" s="987"/>
      <c r="FNL47" s="987"/>
      <c r="FNM47" s="987"/>
      <c r="FNN47" s="987"/>
      <c r="FNO47" s="987"/>
      <c r="FNP47" s="987"/>
      <c r="FNQ47" s="987"/>
      <c r="FNR47" s="987"/>
      <c r="FNS47" s="987"/>
      <c r="FNT47" s="987"/>
      <c r="FNU47" s="987"/>
      <c r="FNV47" s="987"/>
      <c r="FNW47" s="987"/>
      <c r="FNX47" s="987"/>
      <c r="FNY47" s="987"/>
      <c r="FNZ47" s="987"/>
      <c r="FOA47" s="987"/>
      <c r="FOB47" s="987"/>
      <c r="FOC47" s="987"/>
      <c r="FOD47" s="987"/>
      <c r="FOE47" s="987"/>
      <c r="FOF47" s="987"/>
      <c r="FOG47" s="987"/>
      <c r="FOH47" s="987"/>
      <c r="FOI47" s="987"/>
      <c r="FOJ47" s="987"/>
      <c r="FOK47" s="987"/>
      <c r="FOL47" s="987"/>
      <c r="FOM47" s="987"/>
      <c r="FON47" s="987"/>
      <c r="FOO47" s="987"/>
      <c r="FOP47" s="987"/>
      <c r="FOQ47" s="987"/>
      <c r="FOR47" s="987"/>
      <c r="FOS47" s="987"/>
      <c r="FOT47" s="987"/>
      <c r="FOU47" s="987"/>
      <c r="FOV47" s="987"/>
      <c r="FOW47" s="987"/>
      <c r="FOX47" s="987"/>
      <c r="FOY47" s="987"/>
      <c r="FOZ47" s="987"/>
      <c r="FPA47" s="987"/>
      <c r="FPB47" s="987"/>
      <c r="FPC47" s="987"/>
      <c r="FPD47" s="987"/>
      <c r="FPE47" s="987"/>
      <c r="FPF47" s="987"/>
      <c r="FPG47" s="987"/>
      <c r="FPH47" s="987"/>
      <c r="FPI47" s="987"/>
      <c r="FPJ47" s="987"/>
      <c r="FPK47" s="987"/>
      <c r="FPL47" s="987"/>
      <c r="FPM47" s="987"/>
      <c r="FPN47" s="987"/>
      <c r="FPO47" s="987"/>
      <c r="FPP47" s="987"/>
      <c r="FPQ47" s="987"/>
      <c r="FPR47" s="987"/>
      <c r="FPS47" s="987"/>
      <c r="FPT47" s="987"/>
      <c r="FPU47" s="987"/>
      <c r="FPV47" s="987"/>
      <c r="FPW47" s="987"/>
      <c r="FPX47" s="987"/>
      <c r="FPY47" s="987"/>
      <c r="FPZ47" s="987"/>
      <c r="FQA47" s="987"/>
      <c r="FQB47" s="987"/>
      <c r="FQC47" s="987"/>
      <c r="FQD47" s="987"/>
      <c r="FQE47" s="987"/>
      <c r="FQF47" s="987"/>
      <c r="FQG47" s="987"/>
      <c r="FQH47" s="987"/>
      <c r="FQI47" s="987"/>
      <c r="FQJ47" s="987"/>
      <c r="FQK47" s="987"/>
      <c r="FQL47" s="987"/>
      <c r="FQM47" s="987"/>
      <c r="FQN47" s="987"/>
      <c r="FQO47" s="987"/>
      <c r="FQP47" s="987"/>
      <c r="FQQ47" s="987"/>
      <c r="FQR47" s="987"/>
      <c r="FQS47" s="987"/>
      <c r="FQT47" s="987"/>
      <c r="FQU47" s="987"/>
      <c r="FQV47" s="987"/>
      <c r="FQW47" s="987"/>
      <c r="FQX47" s="987"/>
      <c r="FQY47" s="987"/>
      <c r="FQZ47" s="987"/>
      <c r="FRA47" s="987"/>
      <c r="FRB47" s="987"/>
      <c r="FRC47" s="987"/>
      <c r="FRD47" s="987"/>
      <c r="FRE47" s="987"/>
      <c r="FRF47" s="987"/>
      <c r="FRG47" s="987"/>
      <c r="FRH47" s="987"/>
      <c r="FRI47" s="987"/>
      <c r="FRJ47" s="987"/>
      <c r="FRK47" s="987"/>
      <c r="FRL47" s="987"/>
      <c r="FRM47" s="987"/>
      <c r="FRN47" s="987"/>
      <c r="FRO47" s="987"/>
      <c r="FRP47" s="987"/>
      <c r="FRQ47" s="987"/>
      <c r="FRR47" s="987"/>
      <c r="FRS47" s="987"/>
      <c r="FRT47" s="987"/>
      <c r="FRU47" s="987"/>
      <c r="FRV47" s="987"/>
      <c r="FRW47" s="987"/>
      <c r="FRX47" s="987"/>
      <c r="FRY47" s="987"/>
      <c r="FRZ47" s="987"/>
      <c r="FSA47" s="987"/>
      <c r="FSB47" s="987"/>
      <c r="FSC47" s="987"/>
      <c r="FSD47" s="987"/>
      <c r="FSE47" s="987"/>
      <c r="FSF47" s="987"/>
      <c r="FSG47" s="987"/>
      <c r="FSH47" s="987"/>
      <c r="FSI47" s="987"/>
      <c r="FSJ47" s="987"/>
      <c r="FSK47" s="987"/>
      <c r="FSL47" s="987"/>
      <c r="FSM47" s="987"/>
      <c r="FSN47" s="987"/>
      <c r="FSO47" s="987"/>
      <c r="FSP47" s="987"/>
      <c r="FSQ47" s="987"/>
      <c r="FSR47" s="987"/>
      <c r="FSS47" s="987"/>
      <c r="FST47" s="987"/>
      <c r="FSU47" s="987"/>
      <c r="FSV47" s="987"/>
      <c r="FSW47" s="987"/>
      <c r="FSX47" s="987"/>
      <c r="FSY47" s="987"/>
      <c r="FSZ47" s="987"/>
      <c r="FTA47" s="987"/>
      <c r="FTB47" s="987"/>
      <c r="FTC47" s="987"/>
      <c r="FTD47" s="987"/>
      <c r="FTE47" s="987"/>
      <c r="FTF47" s="987"/>
      <c r="FTG47" s="987"/>
      <c r="FTH47" s="987"/>
      <c r="FTI47" s="987"/>
      <c r="FTJ47" s="987"/>
      <c r="FTK47" s="987"/>
      <c r="FTL47" s="987"/>
      <c r="FTM47" s="987"/>
      <c r="FTN47" s="987"/>
      <c r="FTO47" s="987"/>
      <c r="FTP47" s="987"/>
      <c r="FTQ47" s="987"/>
      <c r="FTR47" s="987"/>
      <c r="FTS47" s="987"/>
      <c r="FTT47" s="987"/>
      <c r="FTU47" s="987"/>
      <c r="FTV47" s="987"/>
      <c r="FTW47" s="987"/>
      <c r="FTX47" s="987"/>
      <c r="FTY47" s="987"/>
      <c r="FTZ47" s="987"/>
      <c r="FUA47" s="987"/>
      <c r="FUB47" s="987"/>
      <c r="FUC47" s="987"/>
      <c r="FUD47" s="987"/>
      <c r="FUE47" s="987"/>
      <c r="FUF47" s="987"/>
      <c r="FUG47" s="987"/>
      <c r="FUH47" s="987"/>
      <c r="FUI47" s="987"/>
      <c r="FUJ47" s="987"/>
      <c r="FUK47" s="987"/>
      <c r="FUL47" s="987"/>
      <c r="FUM47" s="987"/>
      <c r="FUN47" s="987"/>
      <c r="FUO47" s="987"/>
      <c r="FUP47" s="987"/>
      <c r="FUQ47" s="987"/>
      <c r="FUR47" s="987"/>
      <c r="FUS47" s="987"/>
      <c r="FUT47" s="987"/>
      <c r="FUU47" s="987"/>
      <c r="FUV47" s="987"/>
      <c r="FUW47" s="987"/>
      <c r="FUX47" s="987"/>
      <c r="FUY47" s="987"/>
      <c r="FUZ47" s="987"/>
      <c r="FVA47" s="987"/>
      <c r="FVB47" s="987"/>
      <c r="FVC47" s="987"/>
      <c r="FVD47" s="987"/>
      <c r="FVE47" s="987"/>
      <c r="FVF47" s="987"/>
      <c r="FVG47" s="987"/>
      <c r="FVH47" s="987"/>
      <c r="FVI47" s="987"/>
      <c r="FVJ47" s="987"/>
      <c r="FVK47" s="987"/>
      <c r="FVL47" s="987"/>
      <c r="FVM47" s="987"/>
      <c r="FVN47" s="987"/>
      <c r="FVO47" s="987"/>
      <c r="FVP47" s="987"/>
      <c r="FVQ47" s="987"/>
      <c r="FVR47" s="987"/>
      <c r="FVS47" s="987"/>
      <c r="FVT47" s="987"/>
      <c r="FVU47" s="987"/>
      <c r="FVV47" s="987"/>
      <c r="FVW47" s="987"/>
      <c r="FVX47" s="987"/>
      <c r="FVY47" s="987"/>
      <c r="FVZ47" s="987"/>
      <c r="FWA47" s="987"/>
      <c r="FWB47" s="987"/>
      <c r="FWC47" s="987"/>
      <c r="FWD47" s="987"/>
      <c r="FWE47" s="987"/>
      <c r="FWF47" s="987"/>
      <c r="FWG47" s="987"/>
      <c r="FWH47" s="987"/>
      <c r="FWI47" s="987"/>
      <c r="FWJ47" s="987"/>
      <c r="FWK47" s="987"/>
      <c r="FWL47" s="987"/>
      <c r="FWM47" s="987"/>
      <c r="FWN47" s="987"/>
      <c r="FWO47" s="987"/>
      <c r="FWP47" s="987"/>
      <c r="FWQ47" s="987"/>
      <c r="FWR47" s="987"/>
      <c r="FWS47" s="987"/>
      <c r="FWT47" s="987"/>
      <c r="FWU47" s="987"/>
      <c r="FWV47" s="987"/>
      <c r="FWW47" s="987"/>
      <c r="FWX47" s="987"/>
      <c r="FWY47" s="987"/>
      <c r="FWZ47" s="987"/>
      <c r="FXA47" s="987"/>
      <c r="FXB47" s="987"/>
      <c r="FXC47" s="987"/>
      <c r="FXD47" s="987"/>
      <c r="FXE47" s="987"/>
      <c r="FXF47" s="987"/>
      <c r="FXG47" s="987"/>
      <c r="FXH47" s="987"/>
      <c r="FXI47" s="987"/>
      <c r="FXJ47" s="987"/>
      <c r="FXK47" s="987"/>
      <c r="FXL47" s="987"/>
      <c r="FXM47" s="987"/>
      <c r="FXN47" s="987"/>
      <c r="FXO47" s="987"/>
      <c r="FXP47" s="987"/>
      <c r="FXQ47" s="987"/>
      <c r="FXR47" s="987"/>
      <c r="FXS47" s="987"/>
      <c r="FXT47" s="987"/>
      <c r="FXU47" s="987"/>
      <c r="FXV47" s="987"/>
      <c r="FXW47" s="987"/>
      <c r="FXX47" s="987"/>
      <c r="FXY47" s="987"/>
      <c r="FXZ47" s="987"/>
      <c r="FYA47" s="987"/>
      <c r="FYB47" s="987"/>
      <c r="FYC47" s="987"/>
      <c r="FYD47" s="987"/>
      <c r="FYE47" s="987"/>
      <c r="FYF47" s="987"/>
      <c r="FYG47" s="987"/>
      <c r="FYH47" s="987"/>
      <c r="FYI47" s="987"/>
      <c r="FYJ47" s="987"/>
      <c r="FYK47" s="987"/>
      <c r="FYL47" s="987"/>
      <c r="FYM47" s="987"/>
      <c r="FYN47" s="987"/>
      <c r="FYO47" s="987"/>
      <c r="FYP47" s="987"/>
      <c r="FYQ47" s="987"/>
      <c r="FYR47" s="987"/>
      <c r="FYS47" s="987"/>
      <c r="FYT47" s="987"/>
      <c r="FYU47" s="987"/>
      <c r="FYV47" s="987"/>
      <c r="FYW47" s="987"/>
      <c r="FYX47" s="987"/>
      <c r="FYY47" s="987"/>
      <c r="FYZ47" s="987"/>
      <c r="FZA47" s="987"/>
      <c r="FZB47" s="987"/>
      <c r="FZC47" s="987"/>
      <c r="FZD47" s="987"/>
      <c r="FZE47" s="987"/>
      <c r="FZF47" s="987"/>
      <c r="FZG47" s="987"/>
      <c r="FZH47" s="987"/>
      <c r="FZI47" s="987"/>
      <c r="FZJ47" s="987"/>
      <c r="FZK47" s="987"/>
      <c r="FZL47" s="987"/>
      <c r="FZM47" s="987"/>
      <c r="FZN47" s="987"/>
      <c r="FZO47" s="987"/>
      <c r="FZP47" s="987"/>
      <c r="FZQ47" s="987"/>
      <c r="FZR47" s="987"/>
      <c r="FZS47" s="987"/>
      <c r="FZT47" s="987"/>
      <c r="FZU47" s="987"/>
      <c r="FZV47" s="987"/>
      <c r="FZW47" s="987"/>
      <c r="FZX47" s="987"/>
      <c r="FZY47" s="987"/>
      <c r="FZZ47" s="987"/>
      <c r="GAA47" s="987"/>
      <c r="GAB47" s="987"/>
      <c r="GAC47" s="987"/>
      <c r="GAD47" s="987"/>
      <c r="GAE47" s="987"/>
      <c r="GAF47" s="987"/>
      <c r="GAG47" s="987"/>
      <c r="GAH47" s="987"/>
      <c r="GAI47" s="987"/>
      <c r="GAJ47" s="987"/>
      <c r="GAK47" s="987"/>
      <c r="GAL47" s="987"/>
      <c r="GAM47" s="987"/>
      <c r="GAN47" s="987"/>
      <c r="GAO47" s="987"/>
      <c r="GAP47" s="987"/>
      <c r="GAQ47" s="987"/>
      <c r="GAR47" s="987"/>
      <c r="GAS47" s="987"/>
      <c r="GAT47" s="987"/>
      <c r="GAU47" s="987"/>
      <c r="GAV47" s="987"/>
      <c r="GAW47" s="987"/>
      <c r="GAX47" s="987"/>
      <c r="GAY47" s="987"/>
      <c r="GAZ47" s="987"/>
      <c r="GBA47" s="987"/>
      <c r="GBB47" s="987"/>
      <c r="GBC47" s="987"/>
      <c r="GBD47" s="987"/>
      <c r="GBE47" s="987"/>
      <c r="GBF47" s="987"/>
      <c r="GBG47" s="987"/>
      <c r="GBH47" s="987"/>
      <c r="GBI47" s="987"/>
      <c r="GBJ47" s="987"/>
      <c r="GBK47" s="987"/>
      <c r="GBL47" s="987"/>
      <c r="GBM47" s="987"/>
      <c r="GBN47" s="987"/>
      <c r="GBO47" s="987"/>
      <c r="GBP47" s="987"/>
      <c r="GBQ47" s="987"/>
      <c r="GBR47" s="987"/>
      <c r="GBS47" s="987"/>
      <c r="GBT47" s="987"/>
      <c r="GBU47" s="987"/>
      <c r="GBV47" s="987"/>
      <c r="GBW47" s="987"/>
      <c r="GBX47" s="987"/>
      <c r="GBY47" s="987"/>
      <c r="GBZ47" s="987"/>
      <c r="GCA47" s="987"/>
      <c r="GCB47" s="987"/>
      <c r="GCC47" s="987"/>
      <c r="GCD47" s="987"/>
      <c r="GCE47" s="987"/>
      <c r="GCF47" s="987"/>
      <c r="GCG47" s="987"/>
      <c r="GCH47" s="987"/>
      <c r="GCI47" s="987"/>
      <c r="GCJ47" s="987"/>
      <c r="GCK47" s="987"/>
      <c r="GCL47" s="987"/>
      <c r="GCM47" s="987"/>
      <c r="GCN47" s="987"/>
      <c r="GCO47" s="987"/>
      <c r="GCP47" s="987"/>
      <c r="GCQ47" s="987"/>
      <c r="GCR47" s="987"/>
      <c r="GCS47" s="987"/>
      <c r="GCT47" s="987"/>
      <c r="GCU47" s="987"/>
      <c r="GCV47" s="987"/>
      <c r="GCW47" s="987"/>
      <c r="GCX47" s="987"/>
      <c r="GCY47" s="987"/>
      <c r="GCZ47" s="987"/>
      <c r="GDA47" s="987"/>
      <c r="GDB47" s="987"/>
      <c r="GDC47" s="987"/>
      <c r="GDD47" s="987"/>
      <c r="GDE47" s="987"/>
      <c r="GDF47" s="987"/>
      <c r="GDG47" s="987"/>
      <c r="GDH47" s="987"/>
      <c r="GDI47" s="987"/>
      <c r="GDJ47" s="987"/>
      <c r="GDK47" s="987"/>
      <c r="GDL47" s="987"/>
      <c r="GDM47" s="987"/>
      <c r="GDN47" s="987"/>
      <c r="GDO47" s="987"/>
      <c r="GDP47" s="987"/>
      <c r="GDQ47" s="987"/>
      <c r="GDR47" s="987"/>
      <c r="GDS47" s="987"/>
      <c r="GDT47" s="987"/>
      <c r="GDU47" s="987"/>
      <c r="GDV47" s="987"/>
      <c r="GDW47" s="987"/>
      <c r="GDX47" s="987"/>
      <c r="GDY47" s="987"/>
      <c r="GDZ47" s="987"/>
      <c r="GEA47" s="987"/>
      <c r="GEB47" s="987"/>
      <c r="GEC47" s="987"/>
      <c r="GED47" s="987"/>
      <c r="GEE47" s="987"/>
      <c r="GEF47" s="987"/>
      <c r="GEG47" s="987"/>
      <c r="GEH47" s="987"/>
      <c r="GEI47" s="987"/>
      <c r="GEJ47" s="987"/>
      <c r="GEK47" s="987"/>
      <c r="GEL47" s="987"/>
      <c r="GEM47" s="987"/>
      <c r="GEN47" s="987"/>
      <c r="GEO47" s="987"/>
      <c r="GEP47" s="987"/>
      <c r="GEQ47" s="987"/>
      <c r="GER47" s="987"/>
      <c r="GES47" s="987"/>
      <c r="GET47" s="987"/>
      <c r="GEU47" s="987"/>
      <c r="GEV47" s="987"/>
      <c r="GEW47" s="987"/>
      <c r="GEX47" s="987"/>
      <c r="GEY47" s="987"/>
      <c r="GEZ47" s="987"/>
      <c r="GFA47" s="987"/>
      <c r="GFB47" s="987"/>
      <c r="GFC47" s="987"/>
      <c r="GFD47" s="987"/>
      <c r="GFE47" s="987"/>
      <c r="GFF47" s="987"/>
      <c r="GFG47" s="987"/>
      <c r="GFH47" s="987"/>
      <c r="GFI47" s="987"/>
      <c r="GFJ47" s="987"/>
      <c r="GFK47" s="987"/>
      <c r="GFL47" s="987"/>
      <c r="GFM47" s="987"/>
      <c r="GFN47" s="987"/>
      <c r="GFO47" s="987"/>
      <c r="GFP47" s="987"/>
      <c r="GFQ47" s="987"/>
      <c r="GFR47" s="987"/>
      <c r="GFS47" s="987"/>
      <c r="GFT47" s="987"/>
      <c r="GFU47" s="987"/>
      <c r="GFV47" s="987"/>
      <c r="GFW47" s="987"/>
      <c r="GFX47" s="987"/>
      <c r="GFY47" s="987"/>
      <c r="GFZ47" s="987"/>
      <c r="GGA47" s="987"/>
      <c r="GGB47" s="987"/>
      <c r="GGC47" s="987"/>
      <c r="GGD47" s="987"/>
      <c r="GGE47" s="987"/>
      <c r="GGF47" s="987"/>
      <c r="GGG47" s="987"/>
      <c r="GGH47" s="987"/>
      <c r="GGI47" s="987"/>
      <c r="GGJ47" s="987"/>
      <c r="GGK47" s="987"/>
      <c r="GGL47" s="987"/>
      <c r="GGM47" s="987"/>
      <c r="GGN47" s="987"/>
      <c r="GGO47" s="987"/>
      <c r="GGP47" s="987"/>
      <c r="GGQ47" s="987"/>
      <c r="GGR47" s="987"/>
      <c r="GGS47" s="987"/>
      <c r="GGT47" s="987"/>
      <c r="GGU47" s="987"/>
      <c r="GGV47" s="987"/>
      <c r="GGW47" s="987"/>
      <c r="GGX47" s="987"/>
      <c r="GGY47" s="987"/>
      <c r="GGZ47" s="987"/>
      <c r="GHA47" s="987"/>
      <c r="GHB47" s="987"/>
      <c r="GHC47" s="987"/>
      <c r="GHD47" s="987"/>
      <c r="GHE47" s="987"/>
      <c r="GHF47" s="987"/>
      <c r="GHG47" s="987"/>
      <c r="GHH47" s="987"/>
      <c r="GHI47" s="987"/>
      <c r="GHJ47" s="987"/>
      <c r="GHK47" s="987"/>
      <c r="GHL47" s="987"/>
      <c r="GHM47" s="987"/>
      <c r="GHN47" s="987"/>
      <c r="GHO47" s="987"/>
      <c r="GHP47" s="987"/>
      <c r="GHQ47" s="987"/>
      <c r="GHR47" s="987"/>
      <c r="GHS47" s="987"/>
      <c r="GHT47" s="987"/>
      <c r="GHU47" s="987"/>
      <c r="GHV47" s="987"/>
      <c r="GHW47" s="987"/>
      <c r="GHX47" s="987"/>
      <c r="GHY47" s="987"/>
      <c r="GHZ47" s="987"/>
      <c r="GIA47" s="987"/>
      <c r="GIB47" s="987"/>
      <c r="GIC47" s="987"/>
      <c r="GID47" s="987"/>
      <c r="GIE47" s="987"/>
      <c r="GIF47" s="987"/>
      <c r="GIG47" s="987"/>
      <c r="GIH47" s="987"/>
      <c r="GII47" s="987"/>
      <c r="GIJ47" s="987"/>
      <c r="GIK47" s="987"/>
      <c r="GIL47" s="987"/>
      <c r="GIM47" s="987"/>
      <c r="GIN47" s="987"/>
      <c r="GIO47" s="987"/>
      <c r="GIP47" s="987"/>
      <c r="GIQ47" s="987"/>
      <c r="GIR47" s="987"/>
      <c r="GIS47" s="987"/>
      <c r="GIT47" s="987"/>
      <c r="GIU47" s="987"/>
      <c r="GIV47" s="987"/>
      <c r="GIW47" s="987"/>
      <c r="GIX47" s="987"/>
      <c r="GIY47" s="987"/>
      <c r="GIZ47" s="987"/>
      <c r="GJA47" s="987"/>
      <c r="GJB47" s="987"/>
      <c r="GJC47" s="987"/>
      <c r="GJD47" s="987"/>
      <c r="GJE47" s="987"/>
      <c r="GJF47" s="987"/>
      <c r="GJG47" s="987"/>
      <c r="GJH47" s="987"/>
      <c r="GJI47" s="987"/>
      <c r="GJJ47" s="987"/>
      <c r="GJK47" s="987"/>
      <c r="GJL47" s="987"/>
      <c r="GJM47" s="987"/>
      <c r="GJN47" s="987"/>
      <c r="GJO47" s="987"/>
      <c r="GJP47" s="987"/>
      <c r="GJQ47" s="987"/>
      <c r="GJR47" s="987"/>
      <c r="GJS47" s="987"/>
      <c r="GJT47" s="987"/>
      <c r="GJU47" s="987"/>
      <c r="GJV47" s="987"/>
      <c r="GJW47" s="987"/>
      <c r="GJX47" s="987"/>
      <c r="GJY47" s="987"/>
      <c r="GJZ47" s="987"/>
      <c r="GKA47" s="987"/>
      <c r="GKB47" s="987"/>
      <c r="GKC47" s="987"/>
      <c r="GKD47" s="987"/>
      <c r="GKE47" s="987"/>
      <c r="GKF47" s="987"/>
      <c r="GKG47" s="987"/>
      <c r="GKH47" s="987"/>
      <c r="GKI47" s="987"/>
      <c r="GKJ47" s="987"/>
      <c r="GKK47" s="987"/>
      <c r="GKL47" s="987"/>
      <c r="GKM47" s="987"/>
      <c r="GKN47" s="987"/>
      <c r="GKO47" s="987"/>
      <c r="GKP47" s="987"/>
      <c r="GKQ47" s="987"/>
      <c r="GKR47" s="987"/>
      <c r="GKS47" s="987"/>
      <c r="GKT47" s="987"/>
      <c r="GKU47" s="987"/>
      <c r="GKV47" s="987"/>
      <c r="GKW47" s="987"/>
      <c r="GKX47" s="987"/>
      <c r="GKY47" s="987"/>
      <c r="GKZ47" s="987"/>
      <c r="GLA47" s="987"/>
      <c r="GLB47" s="987"/>
      <c r="GLC47" s="987"/>
      <c r="GLD47" s="987"/>
      <c r="GLE47" s="987"/>
      <c r="GLF47" s="987"/>
      <c r="GLG47" s="987"/>
      <c r="GLH47" s="987"/>
      <c r="GLI47" s="987"/>
      <c r="GLJ47" s="987"/>
      <c r="GLK47" s="987"/>
      <c r="GLL47" s="987"/>
      <c r="GLM47" s="987"/>
      <c r="GLN47" s="987"/>
      <c r="GLO47" s="987"/>
      <c r="GLP47" s="987"/>
      <c r="GLQ47" s="987"/>
      <c r="GLR47" s="987"/>
      <c r="GLS47" s="987"/>
      <c r="GLT47" s="987"/>
      <c r="GLU47" s="987"/>
      <c r="GLV47" s="987"/>
      <c r="GLW47" s="987"/>
      <c r="GLX47" s="987"/>
      <c r="GLY47" s="987"/>
      <c r="GLZ47" s="987"/>
      <c r="GMA47" s="987"/>
      <c r="GMB47" s="987"/>
      <c r="GMC47" s="987"/>
      <c r="GMD47" s="987"/>
      <c r="GME47" s="987"/>
      <c r="GMF47" s="987"/>
      <c r="GMG47" s="987"/>
      <c r="GMH47" s="987"/>
      <c r="GMI47" s="987"/>
      <c r="GMJ47" s="987"/>
      <c r="GMK47" s="987"/>
      <c r="GML47" s="987"/>
      <c r="GMM47" s="987"/>
      <c r="GMN47" s="987"/>
      <c r="GMO47" s="987"/>
      <c r="GMP47" s="987"/>
      <c r="GMQ47" s="987"/>
      <c r="GMR47" s="987"/>
      <c r="GMS47" s="987"/>
      <c r="GMT47" s="987"/>
      <c r="GMU47" s="987"/>
      <c r="GMV47" s="987"/>
      <c r="GMW47" s="987"/>
      <c r="GMX47" s="987"/>
      <c r="GMY47" s="987"/>
      <c r="GMZ47" s="987"/>
      <c r="GNA47" s="987"/>
      <c r="GNB47" s="987"/>
      <c r="GNC47" s="987"/>
      <c r="GND47" s="987"/>
      <c r="GNE47" s="987"/>
      <c r="GNF47" s="987"/>
      <c r="GNG47" s="987"/>
      <c r="GNH47" s="987"/>
      <c r="GNI47" s="987"/>
      <c r="GNJ47" s="987"/>
      <c r="GNK47" s="987"/>
      <c r="GNL47" s="987"/>
      <c r="GNM47" s="987"/>
      <c r="GNN47" s="987"/>
      <c r="GNO47" s="987"/>
      <c r="GNP47" s="987"/>
      <c r="GNQ47" s="987"/>
      <c r="GNR47" s="987"/>
      <c r="GNS47" s="987"/>
      <c r="GNT47" s="987"/>
      <c r="GNU47" s="987"/>
      <c r="GNV47" s="987"/>
      <c r="GNW47" s="987"/>
      <c r="GNX47" s="987"/>
      <c r="GNY47" s="987"/>
      <c r="GNZ47" s="987"/>
      <c r="GOA47" s="987"/>
      <c r="GOB47" s="987"/>
      <c r="GOC47" s="987"/>
      <c r="GOD47" s="987"/>
      <c r="GOE47" s="987"/>
      <c r="GOF47" s="987"/>
      <c r="GOG47" s="987"/>
      <c r="GOH47" s="987"/>
      <c r="GOI47" s="987"/>
      <c r="GOJ47" s="987"/>
      <c r="GOK47" s="987"/>
      <c r="GOL47" s="987"/>
      <c r="GOM47" s="987"/>
      <c r="GON47" s="987"/>
      <c r="GOO47" s="987"/>
      <c r="GOP47" s="987"/>
      <c r="GOQ47" s="987"/>
      <c r="GOR47" s="987"/>
      <c r="GOS47" s="987"/>
      <c r="GOT47" s="987"/>
      <c r="GOU47" s="987"/>
      <c r="GOV47" s="987"/>
      <c r="GOW47" s="987"/>
      <c r="GOX47" s="987"/>
      <c r="GOY47" s="987"/>
      <c r="GOZ47" s="987"/>
      <c r="GPA47" s="987"/>
      <c r="GPB47" s="987"/>
      <c r="GPC47" s="987"/>
      <c r="GPD47" s="987"/>
      <c r="GPE47" s="987"/>
      <c r="GPF47" s="987"/>
      <c r="GPG47" s="987"/>
      <c r="GPH47" s="987"/>
      <c r="GPI47" s="987"/>
      <c r="GPJ47" s="987"/>
      <c r="GPK47" s="987"/>
      <c r="GPL47" s="987"/>
      <c r="GPM47" s="987"/>
      <c r="GPN47" s="987"/>
      <c r="GPO47" s="987"/>
      <c r="GPP47" s="987"/>
      <c r="GPQ47" s="987"/>
      <c r="GPR47" s="987"/>
      <c r="GPS47" s="987"/>
      <c r="GPT47" s="987"/>
      <c r="GPU47" s="987"/>
      <c r="GPV47" s="987"/>
      <c r="GPW47" s="987"/>
      <c r="GPX47" s="987"/>
      <c r="GPY47" s="987"/>
      <c r="GPZ47" s="987"/>
      <c r="GQA47" s="987"/>
      <c r="GQB47" s="987"/>
      <c r="GQC47" s="987"/>
      <c r="GQD47" s="987"/>
      <c r="GQE47" s="987"/>
      <c r="GQF47" s="987"/>
      <c r="GQG47" s="987"/>
      <c r="GQH47" s="987"/>
      <c r="GQI47" s="987"/>
      <c r="GQJ47" s="987"/>
      <c r="GQK47" s="987"/>
      <c r="GQL47" s="987"/>
      <c r="GQM47" s="987"/>
      <c r="GQN47" s="987"/>
      <c r="GQO47" s="987"/>
      <c r="GQP47" s="987"/>
      <c r="GQQ47" s="987"/>
      <c r="GQR47" s="987"/>
      <c r="GQS47" s="987"/>
      <c r="GQT47" s="987"/>
      <c r="GQU47" s="987"/>
      <c r="GQV47" s="987"/>
      <c r="GQW47" s="987"/>
      <c r="GQX47" s="987"/>
      <c r="GQY47" s="987"/>
      <c r="GQZ47" s="987"/>
      <c r="GRA47" s="987"/>
      <c r="GRB47" s="987"/>
      <c r="GRC47" s="987"/>
      <c r="GRD47" s="987"/>
      <c r="GRE47" s="987"/>
      <c r="GRF47" s="987"/>
      <c r="GRG47" s="987"/>
      <c r="GRH47" s="987"/>
      <c r="GRI47" s="987"/>
      <c r="GRJ47" s="987"/>
      <c r="GRK47" s="987"/>
      <c r="GRL47" s="987"/>
      <c r="GRM47" s="987"/>
      <c r="GRN47" s="987"/>
      <c r="GRO47" s="987"/>
      <c r="GRP47" s="987"/>
      <c r="GRQ47" s="987"/>
      <c r="GRR47" s="987"/>
      <c r="GRS47" s="987"/>
      <c r="GRT47" s="987"/>
      <c r="GRU47" s="987"/>
      <c r="GRV47" s="987"/>
      <c r="GRW47" s="987"/>
      <c r="GRX47" s="987"/>
      <c r="GRY47" s="987"/>
      <c r="GRZ47" s="987"/>
      <c r="GSA47" s="987"/>
      <c r="GSB47" s="987"/>
      <c r="GSC47" s="987"/>
      <c r="GSD47" s="987"/>
      <c r="GSE47" s="987"/>
      <c r="GSF47" s="987"/>
      <c r="GSG47" s="987"/>
      <c r="GSH47" s="987"/>
      <c r="GSI47" s="987"/>
      <c r="GSJ47" s="987"/>
      <c r="GSK47" s="987"/>
      <c r="GSL47" s="987"/>
      <c r="GSM47" s="987"/>
      <c r="GSN47" s="987"/>
      <c r="GSO47" s="987"/>
      <c r="GSP47" s="987"/>
      <c r="GSQ47" s="987"/>
      <c r="GSR47" s="987"/>
      <c r="GSS47" s="987"/>
      <c r="GST47" s="987"/>
      <c r="GSU47" s="987"/>
      <c r="GSV47" s="987"/>
      <c r="GSW47" s="987"/>
      <c r="GSX47" s="987"/>
      <c r="GSY47" s="987"/>
      <c r="GSZ47" s="987"/>
      <c r="GTA47" s="987"/>
      <c r="GTB47" s="987"/>
      <c r="GTC47" s="987"/>
      <c r="GTD47" s="987"/>
      <c r="GTE47" s="987"/>
      <c r="GTF47" s="987"/>
      <c r="GTG47" s="987"/>
      <c r="GTH47" s="987"/>
      <c r="GTI47" s="987"/>
      <c r="GTJ47" s="987"/>
      <c r="GTK47" s="987"/>
      <c r="GTL47" s="987"/>
      <c r="GTM47" s="987"/>
      <c r="GTN47" s="987"/>
      <c r="GTO47" s="987"/>
      <c r="GTP47" s="987"/>
      <c r="GTQ47" s="987"/>
      <c r="GTR47" s="987"/>
      <c r="GTS47" s="987"/>
      <c r="GTT47" s="987"/>
      <c r="GTU47" s="987"/>
      <c r="GTV47" s="987"/>
      <c r="GTW47" s="987"/>
      <c r="GTX47" s="987"/>
      <c r="GTY47" s="987"/>
      <c r="GTZ47" s="987"/>
      <c r="GUA47" s="987"/>
      <c r="GUB47" s="987"/>
      <c r="GUC47" s="987"/>
      <c r="GUD47" s="987"/>
      <c r="GUE47" s="987"/>
      <c r="GUF47" s="987"/>
      <c r="GUG47" s="987"/>
      <c r="GUH47" s="987"/>
      <c r="GUI47" s="987"/>
      <c r="GUJ47" s="987"/>
      <c r="GUK47" s="987"/>
      <c r="GUL47" s="987"/>
      <c r="GUM47" s="987"/>
      <c r="GUN47" s="987"/>
      <c r="GUO47" s="987"/>
      <c r="GUP47" s="987"/>
      <c r="GUQ47" s="987"/>
      <c r="GUR47" s="987"/>
      <c r="GUS47" s="987"/>
      <c r="GUT47" s="987"/>
      <c r="GUU47" s="987"/>
      <c r="GUV47" s="987"/>
      <c r="GUW47" s="987"/>
      <c r="GUX47" s="987"/>
      <c r="GUY47" s="987"/>
      <c r="GUZ47" s="987"/>
      <c r="GVA47" s="987"/>
      <c r="GVB47" s="987"/>
      <c r="GVC47" s="987"/>
      <c r="GVD47" s="987"/>
      <c r="GVE47" s="987"/>
      <c r="GVF47" s="987"/>
      <c r="GVG47" s="987"/>
      <c r="GVH47" s="987"/>
      <c r="GVI47" s="987"/>
      <c r="GVJ47" s="987"/>
      <c r="GVK47" s="987"/>
      <c r="GVL47" s="987"/>
      <c r="GVM47" s="987"/>
      <c r="GVN47" s="987"/>
      <c r="GVO47" s="987"/>
      <c r="GVP47" s="987"/>
      <c r="GVQ47" s="987"/>
      <c r="GVR47" s="987"/>
      <c r="GVS47" s="987"/>
      <c r="GVT47" s="987"/>
      <c r="GVU47" s="987"/>
      <c r="GVV47" s="987"/>
      <c r="GVW47" s="987"/>
      <c r="GVX47" s="987"/>
      <c r="GVY47" s="987"/>
      <c r="GVZ47" s="987"/>
      <c r="GWA47" s="987"/>
      <c r="GWB47" s="987"/>
      <c r="GWC47" s="987"/>
      <c r="GWD47" s="987"/>
      <c r="GWE47" s="987"/>
      <c r="GWF47" s="987"/>
      <c r="GWG47" s="987"/>
      <c r="GWH47" s="987"/>
      <c r="GWI47" s="987"/>
      <c r="GWJ47" s="987"/>
      <c r="GWK47" s="987"/>
      <c r="GWL47" s="987"/>
      <c r="GWM47" s="987"/>
      <c r="GWN47" s="987"/>
      <c r="GWO47" s="987"/>
      <c r="GWP47" s="987"/>
      <c r="GWQ47" s="987"/>
      <c r="GWR47" s="987"/>
      <c r="GWS47" s="987"/>
      <c r="GWT47" s="987"/>
      <c r="GWU47" s="987"/>
      <c r="GWV47" s="987"/>
      <c r="GWW47" s="987"/>
      <c r="GWX47" s="987"/>
      <c r="GWY47" s="987"/>
      <c r="GWZ47" s="987"/>
      <c r="GXA47" s="987"/>
      <c r="GXB47" s="987"/>
      <c r="GXC47" s="987"/>
      <c r="GXD47" s="987"/>
      <c r="GXE47" s="987"/>
      <c r="GXF47" s="987"/>
      <c r="GXG47" s="987"/>
      <c r="GXH47" s="987"/>
      <c r="GXI47" s="987"/>
      <c r="GXJ47" s="987"/>
      <c r="GXK47" s="987"/>
      <c r="GXL47" s="987"/>
      <c r="GXM47" s="987"/>
      <c r="GXN47" s="987"/>
      <c r="GXO47" s="987"/>
      <c r="GXP47" s="987"/>
      <c r="GXQ47" s="987"/>
      <c r="GXR47" s="987"/>
      <c r="GXS47" s="987"/>
      <c r="GXT47" s="987"/>
      <c r="GXU47" s="987"/>
      <c r="GXV47" s="987"/>
      <c r="GXW47" s="987"/>
      <c r="GXX47" s="987"/>
      <c r="GXY47" s="987"/>
      <c r="GXZ47" s="987"/>
      <c r="GYA47" s="987"/>
      <c r="GYB47" s="987"/>
      <c r="GYC47" s="987"/>
      <c r="GYD47" s="987"/>
      <c r="GYE47" s="987"/>
      <c r="GYF47" s="987"/>
      <c r="GYG47" s="987"/>
      <c r="GYH47" s="987"/>
      <c r="GYI47" s="987"/>
      <c r="GYJ47" s="987"/>
      <c r="GYK47" s="987"/>
      <c r="GYL47" s="987"/>
      <c r="GYM47" s="987"/>
      <c r="GYN47" s="987"/>
      <c r="GYO47" s="987"/>
      <c r="GYP47" s="987"/>
      <c r="GYQ47" s="987"/>
      <c r="GYR47" s="987"/>
      <c r="GYS47" s="987"/>
      <c r="GYT47" s="987"/>
      <c r="GYU47" s="987"/>
      <c r="GYV47" s="987"/>
      <c r="GYW47" s="987"/>
      <c r="GYX47" s="987"/>
      <c r="GYY47" s="987"/>
      <c r="GYZ47" s="987"/>
      <c r="GZA47" s="987"/>
      <c r="GZB47" s="987"/>
      <c r="GZC47" s="987"/>
      <c r="GZD47" s="987"/>
      <c r="GZE47" s="987"/>
      <c r="GZF47" s="987"/>
      <c r="GZG47" s="987"/>
      <c r="GZH47" s="987"/>
      <c r="GZI47" s="987"/>
      <c r="GZJ47" s="987"/>
      <c r="GZK47" s="987"/>
      <c r="GZL47" s="987"/>
      <c r="GZM47" s="987"/>
      <c r="GZN47" s="987"/>
      <c r="GZO47" s="987"/>
      <c r="GZP47" s="987"/>
      <c r="GZQ47" s="987"/>
      <c r="GZR47" s="987"/>
      <c r="GZS47" s="987"/>
      <c r="GZT47" s="987"/>
      <c r="GZU47" s="987"/>
      <c r="GZV47" s="987"/>
      <c r="GZW47" s="987"/>
      <c r="GZX47" s="987"/>
      <c r="GZY47" s="987"/>
      <c r="GZZ47" s="987"/>
      <c r="HAA47" s="987"/>
      <c r="HAB47" s="987"/>
      <c r="HAC47" s="987"/>
      <c r="HAD47" s="987"/>
      <c r="HAE47" s="987"/>
      <c r="HAF47" s="987"/>
      <c r="HAG47" s="987"/>
      <c r="HAH47" s="987"/>
      <c r="HAI47" s="987"/>
      <c r="HAJ47" s="987"/>
      <c r="HAK47" s="987"/>
      <c r="HAL47" s="987"/>
      <c r="HAM47" s="987"/>
      <c r="HAN47" s="987"/>
      <c r="HAO47" s="987"/>
      <c r="HAP47" s="987"/>
      <c r="HAQ47" s="987"/>
      <c r="HAR47" s="987"/>
      <c r="HAS47" s="987"/>
      <c r="HAT47" s="987"/>
      <c r="HAU47" s="987"/>
      <c r="HAV47" s="987"/>
      <c r="HAW47" s="987"/>
      <c r="HAX47" s="987"/>
      <c r="HAY47" s="987"/>
      <c r="HAZ47" s="987"/>
      <c r="HBA47" s="987"/>
      <c r="HBB47" s="987"/>
      <c r="HBC47" s="987"/>
      <c r="HBD47" s="987"/>
      <c r="HBE47" s="987"/>
      <c r="HBF47" s="987"/>
      <c r="HBG47" s="987"/>
      <c r="HBH47" s="987"/>
      <c r="HBI47" s="987"/>
      <c r="HBJ47" s="987"/>
      <c r="HBK47" s="987"/>
      <c r="HBL47" s="987"/>
      <c r="HBM47" s="987"/>
      <c r="HBN47" s="987"/>
      <c r="HBO47" s="987"/>
      <c r="HBP47" s="987"/>
      <c r="HBQ47" s="987"/>
      <c r="HBR47" s="987"/>
      <c r="HBS47" s="987"/>
      <c r="HBT47" s="987"/>
      <c r="HBU47" s="987"/>
      <c r="HBV47" s="987"/>
      <c r="HBW47" s="987"/>
      <c r="HBX47" s="987"/>
      <c r="HBY47" s="987"/>
      <c r="HBZ47" s="987"/>
      <c r="HCA47" s="987"/>
      <c r="HCB47" s="987"/>
      <c r="HCC47" s="987"/>
      <c r="HCD47" s="987"/>
      <c r="HCE47" s="987"/>
      <c r="HCF47" s="987"/>
      <c r="HCG47" s="987"/>
      <c r="HCH47" s="987"/>
      <c r="HCI47" s="987"/>
      <c r="HCJ47" s="987"/>
      <c r="HCK47" s="987"/>
      <c r="HCL47" s="987"/>
      <c r="HCM47" s="987"/>
      <c r="HCN47" s="987"/>
      <c r="HCO47" s="987"/>
      <c r="HCP47" s="987"/>
      <c r="HCQ47" s="987"/>
      <c r="HCR47" s="987"/>
      <c r="HCS47" s="987"/>
      <c r="HCT47" s="987"/>
      <c r="HCU47" s="987"/>
      <c r="HCV47" s="987"/>
      <c r="HCW47" s="987"/>
      <c r="HCX47" s="987"/>
      <c r="HCY47" s="987"/>
      <c r="HCZ47" s="987"/>
      <c r="HDA47" s="987"/>
      <c r="HDB47" s="987"/>
      <c r="HDC47" s="987"/>
      <c r="HDD47" s="987"/>
      <c r="HDE47" s="987"/>
      <c r="HDF47" s="987"/>
      <c r="HDG47" s="987"/>
      <c r="HDH47" s="987"/>
      <c r="HDI47" s="987"/>
      <c r="HDJ47" s="987"/>
      <c r="HDK47" s="987"/>
      <c r="HDL47" s="987"/>
      <c r="HDM47" s="987"/>
      <c r="HDN47" s="987"/>
      <c r="HDO47" s="987"/>
      <c r="HDP47" s="987"/>
      <c r="HDQ47" s="987"/>
      <c r="HDR47" s="987"/>
      <c r="HDS47" s="987"/>
      <c r="HDT47" s="987"/>
      <c r="HDU47" s="987"/>
      <c r="HDV47" s="987"/>
      <c r="HDW47" s="987"/>
      <c r="HDX47" s="987"/>
      <c r="HDY47" s="987"/>
      <c r="HDZ47" s="987"/>
      <c r="HEA47" s="987"/>
      <c r="HEB47" s="987"/>
      <c r="HEC47" s="987"/>
      <c r="HED47" s="987"/>
      <c r="HEE47" s="987"/>
      <c r="HEF47" s="987"/>
      <c r="HEG47" s="987"/>
      <c r="HEH47" s="987"/>
      <c r="HEI47" s="987"/>
      <c r="HEJ47" s="987"/>
      <c r="HEK47" s="987"/>
      <c r="HEL47" s="987"/>
      <c r="HEM47" s="987"/>
      <c r="HEN47" s="987"/>
      <c r="HEO47" s="987"/>
      <c r="HEP47" s="987"/>
      <c r="HEQ47" s="987"/>
      <c r="HER47" s="987"/>
      <c r="HES47" s="987"/>
      <c r="HET47" s="987"/>
      <c r="HEU47" s="987"/>
      <c r="HEV47" s="987"/>
      <c r="HEW47" s="987"/>
      <c r="HEX47" s="987"/>
      <c r="HEY47" s="987"/>
      <c r="HEZ47" s="987"/>
      <c r="HFA47" s="987"/>
      <c r="HFB47" s="987"/>
      <c r="HFC47" s="987"/>
      <c r="HFD47" s="987"/>
      <c r="HFE47" s="987"/>
      <c r="HFF47" s="987"/>
      <c r="HFG47" s="987"/>
      <c r="HFH47" s="987"/>
      <c r="HFI47" s="987"/>
      <c r="HFJ47" s="987"/>
      <c r="HFK47" s="987"/>
      <c r="HFL47" s="987"/>
      <c r="HFM47" s="987"/>
      <c r="HFN47" s="987"/>
      <c r="HFO47" s="987"/>
      <c r="HFP47" s="987"/>
      <c r="HFQ47" s="987"/>
      <c r="HFR47" s="987"/>
      <c r="HFS47" s="987"/>
      <c r="HFT47" s="987"/>
      <c r="HFU47" s="987"/>
      <c r="HFV47" s="987"/>
      <c r="HFW47" s="987"/>
      <c r="HFX47" s="987"/>
      <c r="HFY47" s="987"/>
      <c r="HFZ47" s="987"/>
      <c r="HGA47" s="987"/>
      <c r="HGB47" s="987"/>
      <c r="HGC47" s="987"/>
      <c r="HGD47" s="987"/>
      <c r="HGE47" s="987"/>
      <c r="HGF47" s="987"/>
      <c r="HGG47" s="987"/>
      <c r="HGH47" s="987"/>
      <c r="HGI47" s="987"/>
      <c r="HGJ47" s="987"/>
      <c r="HGK47" s="987"/>
      <c r="HGL47" s="987"/>
      <c r="HGM47" s="987"/>
      <c r="HGN47" s="987"/>
      <c r="HGO47" s="987"/>
      <c r="HGP47" s="987"/>
      <c r="HGQ47" s="987"/>
      <c r="HGR47" s="987"/>
      <c r="HGS47" s="987"/>
      <c r="HGT47" s="987"/>
      <c r="HGU47" s="987"/>
      <c r="HGV47" s="987"/>
      <c r="HGW47" s="987"/>
      <c r="HGX47" s="987"/>
      <c r="HGY47" s="987"/>
      <c r="HGZ47" s="987"/>
      <c r="HHA47" s="987"/>
      <c r="HHB47" s="987"/>
      <c r="HHC47" s="987"/>
      <c r="HHD47" s="987"/>
      <c r="HHE47" s="987"/>
      <c r="HHF47" s="987"/>
      <c r="HHG47" s="987"/>
      <c r="HHH47" s="987"/>
      <c r="HHI47" s="987"/>
      <c r="HHJ47" s="987"/>
      <c r="HHK47" s="987"/>
      <c r="HHL47" s="987"/>
      <c r="HHM47" s="987"/>
      <c r="HHN47" s="987"/>
      <c r="HHO47" s="987"/>
      <c r="HHP47" s="987"/>
      <c r="HHQ47" s="987"/>
      <c r="HHR47" s="987"/>
      <c r="HHS47" s="987"/>
      <c r="HHT47" s="987"/>
      <c r="HHU47" s="987"/>
      <c r="HHV47" s="987"/>
      <c r="HHW47" s="987"/>
      <c r="HHX47" s="987"/>
      <c r="HHY47" s="987"/>
      <c r="HHZ47" s="987"/>
      <c r="HIA47" s="987"/>
      <c r="HIB47" s="987"/>
      <c r="HIC47" s="987"/>
      <c r="HID47" s="987"/>
      <c r="HIE47" s="987"/>
      <c r="HIF47" s="987"/>
      <c r="HIG47" s="987"/>
      <c r="HIH47" s="987"/>
      <c r="HII47" s="987"/>
      <c r="HIJ47" s="987"/>
      <c r="HIK47" s="987"/>
      <c r="HIL47" s="987"/>
      <c r="HIM47" s="987"/>
      <c r="HIN47" s="987"/>
      <c r="HIO47" s="987"/>
      <c r="HIP47" s="987"/>
      <c r="HIQ47" s="987"/>
      <c r="HIR47" s="987"/>
      <c r="HIS47" s="987"/>
      <c r="HIT47" s="987"/>
      <c r="HIU47" s="987"/>
      <c r="HIV47" s="987"/>
      <c r="HIW47" s="987"/>
      <c r="HIX47" s="987"/>
      <c r="HIY47" s="987"/>
      <c r="HIZ47" s="987"/>
      <c r="HJA47" s="987"/>
      <c r="HJB47" s="987"/>
      <c r="HJC47" s="987"/>
      <c r="HJD47" s="987"/>
      <c r="HJE47" s="987"/>
      <c r="HJF47" s="987"/>
      <c r="HJG47" s="987"/>
      <c r="HJH47" s="987"/>
      <c r="HJI47" s="987"/>
      <c r="HJJ47" s="987"/>
      <c r="HJK47" s="987"/>
      <c r="HJL47" s="987"/>
      <c r="HJM47" s="987"/>
      <c r="HJN47" s="987"/>
      <c r="HJO47" s="987"/>
      <c r="HJP47" s="987"/>
      <c r="HJQ47" s="987"/>
      <c r="HJR47" s="987"/>
      <c r="HJS47" s="987"/>
      <c r="HJT47" s="987"/>
      <c r="HJU47" s="987"/>
      <c r="HJV47" s="987"/>
      <c r="HJW47" s="987"/>
      <c r="HJX47" s="987"/>
      <c r="HJY47" s="987"/>
      <c r="HJZ47" s="987"/>
      <c r="HKA47" s="987"/>
      <c r="HKB47" s="987"/>
      <c r="HKC47" s="987"/>
      <c r="HKD47" s="987"/>
      <c r="HKE47" s="987"/>
      <c r="HKF47" s="987"/>
      <c r="HKG47" s="987"/>
      <c r="HKH47" s="987"/>
      <c r="HKI47" s="987"/>
      <c r="HKJ47" s="987"/>
      <c r="HKK47" s="987"/>
      <c r="HKL47" s="987"/>
      <c r="HKM47" s="987"/>
      <c r="HKN47" s="987"/>
      <c r="HKO47" s="987"/>
      <c r="HKP47" s="987"/>
      <c r="HKQ47" s="987"/>
      <c r="HKR47" s="987"/>
      <c r="HKS47" s="987"/>
      <c r="HKT47" s="987"/>
      <c r="HKU47" s="987"/>
      <c r="HKV47" s="987"/>
      <c r="HKW47" s="987"/>
      <c r="HKX47" s="987"/>
      <c r="HKY47" s="987"/>
      <c r="HKZ47" s="987"/>
      <c r="HLA47" s="987"/>
      <c r="HLB47" s="987"/>
      <c r="HLC47" s="987"/>
      <c r="HLD47" s="987"/>
      <c r="HLE47" s="987"/>
      <c r="HLF47" s="987"/>
      <c r="HLG47" s="987"/>
      <c r="HLH47" s="987"/>
      <c r="HLI47" s="987"/>
      <c r="HLJ47" s="987"/>
      <c r="HLK47" s="987"/>
      <c r="HLL47" s="987"/>
      <c r="HLM47" s="987"/>
      <c r="HLN47" s="987"/>
      <c r="HLO47" s="987"/>
      <c r="HLP47" s="987"/>
      <c r="HLQ47" s="987"/>
      <c r="HLR47" s="987"/>
      <c r="HLS47" s="987"/>
      <c r="HLT47" s="987"/>
      <c r="HLU47" s="987"/>
      <c r="HLV47" s="987"/>
      <c r="HLW47" s="987"/>
      <c r="HLX47" s="987"/>
      <c r="HLY47" s="987"/>
      <c r="HLZ47" s="987"/>
      <c r="HMA47" s="987"/>
      <c r="HMB47" s="987"/>
      <c r="HMC47" s="987"/>
      <c r="HMD47" s="987"/>
      <c r="HME47" s="987"/>
      <c r="HMF47" s="987"/>
      <c r="HMG47" s="987"/>
      <c r="HMH47" s="987"/>
      <c r="HMI47" s="987"/>
      <c r="HMJ47" s="987"/>
      <c r="HMK47" s="987"/>
      <c r="HML47" s="987"/>
      <c r="HMM47" s="987"/>
      <c r="HMN47" s="987"/>
      <c r="HMO47" s="987"/>
      <c r="HMP47" s="987"/>
      <c r="HMQ47" s="987"/>
      <c r="HMR47" s="987"/>
      <c r="HMS47" s="987"/>
      <c r="HMT47" s="987"/>
      <c r="HMU47" s="987"/>
      <c r="HMV47" s="987"/>
      <c r="HMW47" s="987"/>
      <c r="HMX47" s="987"/>
      <c r="HMY47" s="987"/>
      <c r="HMZ47" s="987"/>
      <c r="HNA47" s="987"/>
      <c r="HNB47" s="987"/>
      <c r="HNC47" s="987"/>
      <c r="HND47" s="987"/>
      <c r="HNE47" s="987"/>
      <c r="HNF47" s="987"/>
      <c r="HNG47" s="987"/>
      <c r="HNH47" s="987"/>
      <c r="HNI47" s="987"/>
      <c r="HNJ47" s="987"/>
      <c r="HNK47" s="987"/>
      <c r="HNL47" s="987"/>
      <c r="HNM47" s="987"/>
      <c r="HNN47" s="987"/>
      <c r="HNO47" s="987"/>
      <c r="HNP47" s="987"/>
      <c r="HNQ47" s="987"/>
      <c r="HNR47" s="987"/>
      <c r="HNS47" s="987"/>
      <c r="HNT47" s="987"/>
      <c r="HNU47" s="987"/>
      <c r="HNV47" s="987"/>
      <c r="HNW47" s="987"/>
      <c r="HNX47" s="987"/>
      <c r="HNY47" s="987"/>
      <c r="HNZ47" s="987"/>
      <c r="HOA47" s="987"/>
      <c r="HOB47" s="987"/>
      <c r="HOC47" s="987"/>
      <c r="HOD47" s="987"/>
      <c r="HOE47" s="987"/>
      <c r="HOF47" s="987"/>
      <c r="HOG47" s="987"/>
      <c r="HOH47" s="987"/>
      <c r="HOI47" s="987"/>
      <c r="HOJ47" s="987"/>
      <c r="HOK47" s="987"/>
      <c r="HOL47" s="987"/>
      <c r="HOM47" s="987"/>
      <c r="HON47" s="987"/>
      <c r="HOO47" s="987"/>
      <c r="HOP47" s="987"/>
      <c r="HOQ47" s="987"/>
      <c r="HOR47" s="987"/>
      <c r="HOS47" s="987"/>
      <c r="HOT47" s="987"/>
      <c r="HOU47" s="987"/>
      <c r="HOV47" s="987"/>
      <c r="HOW47" s="987"/>
      <c r="HOX47" s="987"/>
      <c r="HOY47" s="987"/>
      <c r="HOZ47" s="987"/>
      <c r="HPA47" s="987"/>
      <c r="HPB47" s="987"/>
      <c r="HPC47" s="987"/>
      <c r="HPD47" s="987"/>
      <c r="HPE47" s="987"/>
      <c r="HPF47" s="987"/>
      <c r="HPG47" s="987"/>
      <c r="HPH47" s="987"/>
      <c r="HPI47" s="987"/>
      <c r="HPJ47" s="987"/>
      <c r="HPK47" s="987"/>
      <c r="HPL47" s="987"/>
      <c r="HPM47" s="987"/>
      <c r="HPN47" s="987"/>
      <c r="HPO47" s="987"/>
      <c r="HPP47" s="987"/>
      <c r="HPQ47" s="987"/>
      <c r="HPR47" s="987"/>
      <c r="HPS47" s="987"/>
      <c r="HPT47" s="987"/>
      <c r="HPU47" s="987"/>
      <c r="HPV47" s="987"/>
      <c r="HPW47" s="987"/>
      <c r="HPX47" s="987"/>
      <c r="HPY47" s="987"/>
      <c r="HPZ47" s="987"/>
      <c r="HQA47" s="987"/>
      <c r="HQB47" s="987"/>
      <c r="HQC47" s="987"/>
      <c r="HQD47" s="987"/>
      <c r="HQE47" s="987"/>
      <c r="HQF47" s="987"/>
      <c r="HQG47" s="987"/>
      <c r="HQH47" s="987"/>
      <c r="HQI47" s="987"/>
      <c r="HQJ47" s="987"/>
      <c r="HQK47" s="987"/>
      <c r="HQL47" s="987"/>
      <c r="HQM47" s="987"/>
      <c r="HQN47" s="987"/>
      <c r="HQO47" s="987"/>
      <c r="HQP47" s="987"/>
      <c r="HQQ47" s="987"/>
      <c r="HQR47" s="987"/>
      <c r="HQS47" s="987"/>
      <c r="HQT47" s="987"/>
      <c r="HQU47" s="987"/>
      <c r="HQV47" s="987"/>
      <c r="HQW47" s="987"/>
      <c r="HQX47" s="987"/>
      <c r="HQY47" s="987"/>
      <c r="HQZ47" s="987"/>
      <c r="HRA47" s="987"/>
      <c r="HRB47" s="987"/>
      <c r="HRC47" s="987"/>
      <c r="HRD47" s="987"/>
      <c r="HRE47" s="987"/>
      <c r="HRF47" s="987"/>
      <c r="HRG47" s="987"/>
      <c r="HRH47" s="987"/>
      <c r="HRI47" s="987"/>
      <c r="HRJ47" s="987"/>
      <c r="HRK47" s="987"/>
      <c r="HRL47" s="987"/>
      <c r="HRM47" s="987"/>
      <c r="HRN47" s="987"/>
      <c r="HRO47" s="987"/>
      <c r="HRP47" s="987"/>
      <c r="HRQ47" s="987"/>
      <c r="HRR47" s="987"/>
      <c r="HRS47" s="987"/>
      <c r="HRT47" s="987"/>
      <c r="HRU47" s="987"/>
      <c r="HRV47" s="987"/>
      <c r="HRW47" s="987"/>
      <c r="HRX47" s="987"/>
      <c r="HRY47" s="987"/>
      <c r="HRZ47" s="987"/>
      <c r="HSA47" s="987"/>
      <c r="HSB47" s="987"/>
      <c r="HSC47" s="987"/>
      <c r="HSD47" s="987"/>
      <c r="HSE47" s="987"/>
      <c r="HSF47" s="987"/>
      <c r="HSG47" s="987"/>
      <c r="HSH47" s="987"/>
      <c r="HSI47" s="987"/>
      <c r="HSJ47" s="987"/>
      <c r="HSK47" s="987"/>
      <c r="HSL47" s="987"/>
      <c r="HSM47" s="987"/>
      <c r="HSN47" s="987"/>
      <c r="HSO47" s="987"/>
      <c r="HSP47" s="987"/>
      <c r="HSQ47" s="987"/>
      <c r="HSR47" s="987"/>
      <c r="HSS47" s="987"/>
      <c r="HST47" s="987"/>
      <c r="HSU47" s="987"/>
      <c r="HSV47" s="987"/>
      <c r="HSW47" s="987"/>
      <c r="HSX47" s="987"/>
      <c r="HSY47" s="987"/>
      <c r="HSZ47" s="987"/>
      <c r="HTA47" s="987"/>
      <c r="HTB47" s="987"/>
      <c r="HTC47" s="987"/>
      <c r="HTD47" s="987"/>
      <c r="HTE47" s="987"/>
      <c r="HTF47" s="987"/>
      <c r="HTG47" s="987"/>
      <c r="HTH47" s="987"/>
      <c r="HTI47" s="987"/>
      <c r="HTJ47" s="987"/>
      <c r="HTK47" s="987"/>
      <c r="HTL47" s="987"/>
      <c r="HTM47" s="987"/>
      <c r="HTN47" s="987"/>
      <c r="HTO47" s="987"/>
      <c r="HTP47" s="987"/>
      <c r="HTQ47" s="987"/>
      <c r="HTR47" s="987"/>
      <c r="HTS47" s="987"/>
      <c r="HTT47" s="987"/>
      <c r="HTU47" s="987"/>
      <c r="HTV47" s="987"/>
      <c r="HTW47" s="987"/>
      <c r="HTX47" s="987"/>
      <c r="HTY47" s="987"/>
      <c r="HTZ47" s="987"/>
      <c r="HUA47" s="987"/>
      <c r="HUB47" s="987"/>
      <c r="HUC47" s="987"/>
      <c r="HUD47" s="987"/>
      <c r="HUE47" s="987"/>
      <c r="HUF47" s="987"/>
      <c r="HUG47" s="987"/>
      <c r="HUH47" s="987"/>
      <c r="HUI47" s="987"/>
      <c r="HUJ47" s="987"/>
      <c r="HUK47" s="987"/>
      <c r="HUL47" s="987"/>
      <c r="HUM47" s="987"/>
      <c r="HUN47" s="987"/>
      <c r="HUO47" s="987"/>
      <c r="HUP47" s="987"/>
      <c r="HUQ47" s="987"/>
      <c r="HUR47" s="987"/>
      <c r="HUS47" s="987"/>
      <c r="HUT47" s="987"/>
      <c r="HUU47" s="987"/>
      <c r="HUV47" s="987"/>
      <c r="HUW47" s="987"/>
      <c r="HUX47" s="987"/>
      <c r="HUY47" s="987"/>
      <c r="HUZ47" s="987"/>
      <c r="HVA47" s="987"/>
      <c r="HVB47" s="987"/>
      <c r="HVC47" s="987"/>
      <c r="HVD47" s="987"/>
      <c r="HVE47" s="987"/>
      <c r="HVF47" s="987"/>
      <c r="HVG47" s="987"/>
      <c r="HVH47" s="987"/>
      <c r="HVI47" s="987"/>
      <c r="HVJ47" s="987"/>
      <c r="HVK47" s="987"/>
      <c r="HVL47" s="987"/>
      <c r="HVM47" s="987"/>
      <c r="HVN47" s="987"/>
      <c r="HVO47" s="987"/>
      <c r="HVP47" s="987"/>
      <c r="HVQ47" s="987"/>
      <c r="HVR47" s="987"/>
      <c r="HVS47" s="987"/>
      <c r="HVT47" s="987"/>
      <c r="HVU47" s="987"/>
      <c r="HVV47" s="987"/>
      <c r="HVW47" s="987"/>
      <c r="HVX47" s="987"/>
      <c r="HVY47" s="987"/>
      <c r="HVZ47" s="987"/>
      <c r="HWA47" s="987"/>
      <c r="HWB47" s="987"/>
      <c r="HWC47" s="987"/>
      <c r="HWD47" s="987"/>
      <c r="HWE47" s="987"/>
      <c r="HWF47" s="987"/>
      <c r="HWG47" s="987"/>
      <c r="HWH47" s="987"/>
      <c r="HWI47" s="987"/>
      <c r="HWJ47" s="987"/>
      <c r="HWK47" s="987"/>
      <c r="HWL47" s="987"/>
      <c r="HWM47" s="987"/>
      <c r="HWN47" s="987"/>
      <c r="HWO47" s="987"/>
      <c r="HWP47" s="987"/>
      <c r="HWQ47" s="987"/>
      <c r="HWR47" s="987"/>
      <c r="HWS47" s="987"/>
      <c r="HWT47" s="987"/>
      <c r="HWU47" s="987"/>
      <c r="HWV47" s="987"/>
      <c r="HWW47" s="987"/>
      <c r="HWX47" s="987"/>
      <c r="HWY47" s="987"/>
      <c r="HWZ47" s="987"/>
      <c r="HXA47" s="987"/>
      <c r="HXB47" s="987"/>
      <c r="HXC47" s="987"/>
      <c r="HXD47" s="987"/>
      <c r="HXE47" s="987"/>
      <c r="HXF47" s="987"/>
      <c r="HXG47" s="987"/>
      <c r="HXH47" s="987"/>
      <c r="HXI47" s="987"/>
      <c r="HXJ47" s="987"/>
      <c r="HXK47" s="987"/>
      <c r="HXL47" s="987"/>
      <c r="HXM47" s="987"/>
      <c r="HXN47" s="987"/>
      <c r="HXO47" s="987"/>
      <c r="HXP47" s="987"/>
      <c r="HXQ47" s="987"/>
      <c r="HXR47" s="987"/>
      <c r="HXS47" s="987"/>
      <c r="HXT47" s="987"/>
      <c r="HXU47" s="987"/>
      <c r="HXV47" s="987"/>
      <c r="HXW47" s="987"/>
      <c r="HXX47" s="987"/>
      <c r="HXY47" s="987"/>
      <c r="HXZ47" s="987"/>
      <c r="HYA47" s="987"/>
      <c r="HYB47" s="987"/>
      <c r="HYC47" s="987"/>
      <c r="HYD47" s="987"/>
      <c r="HYE47" s="987"/>
      <c r="HYF47" s="987"/>
      <c r="HYG47" s="987"/>
      <c r="HYH47" s="987"/>
      <c r="HYI47" s="987"/>
      <c r="HYJ47" s="987"/>
      <c r="HYK47" s="987"/>
      <c r="HYL47" s="987"/>
      <c r="HYM47" s="987"/>
      <c r="HYN47" s="987"/>
      <c r="HYO47" s="987"/>
      <c r="HYP47" s="987"/>
      <c r="HYQ47" s="987"/>
      <c r="HYR47" s="987"/>
      <c r="HYS47" s="987"/>
      <c r="HYT47" s="987"/>
      <c r="HYU47" s="987"/>
      <c r="HYV47" s="987"/>
      <c r="HYW47" s="987"/>
      <c r="HYX47" s="987"/>
      <c r="HYY47" s="987"/>
      <c r="HYZ47" s="987"/>
      <c r="HZA47" s="987"/>
      <c r="HZB47" s="987"/>
      <c r="HZC47" s="987"/>
      <c r="HZD47" s="987"/>
      <c r="HZE47" s="987"/>
      <c r="HZF47" s="987"/>
      <c r="HZG47" s="987"/>
      <c r="HZH47" s="987"/>
      <c r="HZI47" s="987"/>
      <c r="HZJ47" s="987"/>
      <c r="HZK47" s="987"/>
      <c r="HZL47" s="987"/>
      <c r="HZM47" s="987"/>
      <c r="HZN47" s="987"/>
      <c r="HZO47" s="987"/>
      <c r="HZP47" s="987"/>
      <c r="HZQ47" s="987"/>
      <c r="HZR47" s="987"/>
      <c r="HZS47" s="987"/>
      <c r="HZT47" s="987"/>
      <c r="HZU47" s="987"/>
      <c r="HZV47" s="987"/>
      <c r="HZW47" s="987"/>
      <c r="HZX47" s="987"/>
      <c r="HZY47" s="987"/>
      <c r="HZZ47" s="987"/>
      <c r="IAA47" s="987"/>
      <c r="IAB47" s="987"/>
      <c r="IAC47" s="987"/>
      <c r="IAD47" s="987"/>
      <c r="IAE47" s="987"/>
      <c r="IAF47" s="987"/>
      <c r="IAG47" s="987"/>
      <c r="IAH47" s="987"/>
      <c r="IAI47" s="987"/>
      <c r="IAJ47" s="987"/>
      <c r="IAK47" s="987"/>
      <c r="IAL47" s="987"/>
      <c r="IAM47" s="987"/>
      <c r="IAN47" s="987"/>
      <c r="IAO47" s="987"/>
      <c r="IAP47" s="987"/>
      <c r="IAQ47" s="987"/>
      <c r="IAR47" s="987"/>
      <c r="IAS47" s="987"/>
      <c r="IAT47" s="987"/>
      <c r="IAU47" s="987"/>
      <c r="IAV47" s="987"/>
      <c r="IAW47" s="987"/>
      <c r="IAX47" s="987"/>
      <c r="IAY47" s="987"/>
      <c r="IAZ47" s="987"/>
      <c r="IBA47" s="987"/>
      <c r="IBB47" s="987"/>
      <c r="IBC47" s="987"/>
      <c r="IBD47" s="987"/>
      <c r="IBE47" s="987"/>
      <c r="IBF47" s="987"/>
      <c r="IBG47" s="987"/>
      <c r="IBH47" s="987"/>
      <c r="IBI47" s="987"/>
      <c r="IBJ47" s="987"/>
      <c r="IBK47" s="987"/>
      <c r="IBL47" s="987"/>
      <c r="IBM47" s="987"/>
      <c r="IBN47" s="987"/>
      <c r="IBO47" s="987"/>
      <c r="IBP47" s="987"/>
      <c r="IBQ47" s="987"/>
      <c r="IBR47" s="987"/>
      <c r="IBS47" s="987"/>
      <c r="IBT47" s="987"/>
      <c r="IBU47" s="987"/>
      <c r="IBV47" s="987"/>
      <c r="IBW47" s="987"/>
      <c r="IBX47" s="987"/>
      <c r="IBY47" s="987"/>
      <c r="IBZ47" s="987"/>
      <c r="ICA47" s="987"/>
      <c r="ICB47" s="987"/>
      <c r="ICC47" s="987"/>
      <c r="ICD47" s="987"/>
      <c r="ICE47" s="987"/>
      <c r="ICF47" s="987"/>
      <c r="ICG47" s="987"/>
      <c r="ICH47" s="987"/>
      <c r="ICI47" s="987"/>
      <c r="ICJ47" s="987"/>
      <c r="ICK47" s="987"/>
      <c r="ICL47" s="987"/>
      <c r="ICM47" s="987"/>
      <c r="ICN47" s="987"/>
      <c r="ICO47" s="987"/>
      <c r="ICP47" s="987"/>
      <c r="ICQ47" s="987"/>
      <c r="ICR47" s="987"/>
      <c r="ICS47" s="987"/>
      <c r="ICT47" s="987"/>
      <c r="ICU47" s="987"/>
      <c r="ICV47" s="987"/>
      <c r="ICW47" s="987"/>
      <c r="ICX47" s="987"/>
      <c r="ICY47" s="987"/>
      <c r="ICZ47" s="987"/>
      <c r="IDA47" s="987"/>
      <c r="IDB47" s="987"/>
      <c r="IDC47" s="987"/>
      <c r="IDD47" s="987"/>
      <c r="IDE47" s="987"/>
      <c r="IDF47" s="987"/>
      <c r="IDG47" s="987"/>
      <c r="IDH47" s="987"/>
      <c r="IDI47" s="987"/>
      <c r="IDJ47" s="987"/>
      <c r="IDK47" s="987"/>
      <c r="IDL47" s="987"/>
      <c r="IDM47" s="987"/>
      <c r="IDN47" s="987"/>
      <c r="IDO47" s="987"/>
      <c r="IDP47" s="987"/>
      <c r="IDQ47" s="987"/>
      <c r="IDR47" s="987"/>
      <c r="IDS47" s="987"/>
      <c r="IDT47" s="987"/>
      <c r="IDU47" s="987"/>
      <c r="IDV47" s="987"/>
      <c r="IDW47" s="987"/>
      <c r="IDX47" s="987"/>
      <c r="IDY47" s="987"/>
      <c r="IDZ47" s="987"/>
      <c r="IEA47" s="987"/>
      <c r="IEB47" s="987"/>
      <c r="IEC47" s="987"/>
      <c r="IED47" s="987"/>
      <c r="IEE47" s="987"/>
      <c r="IEF47" s="987"/>
      <c r="IEG47" s="987"/>
      <c r="IEH47" s="987"/>
      <c r="IEI47" s="987"/>
      <c r="IEJ47" s="987"/>
      <c r="IEK47" s="987"/>
      <c r="IEL47" s="987"/>
      <c r="IEM47" s="987"/>
      <c r="IEN47" s="987"/>
      <c r="IEO47" s="987"/>
      <c r="IEP47" s="987"/>
      <c r="IEQ47" s="987"/>
      <c r="IER47" s="987"/>
      <c r="IES47" s="987"/>
      <c r="IET47" s="987"/>
      <c r="IEU47" s="987"/>
      <c r="IEV47" s="987"/>
      <c r="IEW47" s="987"/>
      <c r="IEX47" s="987"/>
      <c r="IEY47" s="987"/>
      <c r="IEZ47" s="987"/>
      <c r="IFA47" s="987"/>
      <c r="IFB47" s="987"/>
      <c r="IFC47" s="987"/>
      <c r="IFD47" s="987"/>
      <c r="IFE47" s="987"/>
      <c r="IFF47" s="987"/>
      <c r="IFG47" s="987"/>
      <c r="IFH47" s="987"/>
      <c r="IFI47" s="987"/>
      <c r="IFJ47" s="987"/>
      <c r="IFK47" s="987"/>
      <c r="IFL47" s="987"/>
      <c r="IFM47" s="987"/>
      <c r="IFN47" s="987"/>
      <c r="IFO47" s="987"/>
      <c r="IFP47" s="987"/>
      <c r="IFQ47" s="987"/>
      <c r="IFR47" s="987"/>
      <c r="IFS47" s="987"/>
      <c r="IFT47" s="987"/>
      <c r="IFU47" s="987"/>
      <c r="IFV47" s="987"/>
      <c r="IFW47" s="987"/>
      <c r="IFX47" s="987"/>
      <c r="IFY47" s="987"/>
      <c r="IFZ47" s="987"/>
      <c r="IGA47" s="987"/>
      <c r="IGB47" s="987"/>
      <c r="IGC47" s="987"/>
      <c r="IGD47" s="987"/>
      <c r="IGE47" s="987"/>
      <c r="IGF47" s="987"/>
      <c r="IGG47" s="987"/>
      <c r="IGH47" s="987"/>
      <c r="IGI47" s="987"/>
      <c r="IGJ47" s="987"/>
      <c r="IGK47" s="987"/>
      <c r="IGL47" s="987"/>
      <c r="IGM47" s="987"/>
      <c r="IGN47" s="987"/>
      <c r="IGO47" s="987"/>
      <c r="IGP47" s="987"/>
      <c r="IGQ47" s="987"/>
      <c r="IGR47" s="987"/>
      <c r="IGS47" s="987"/>
      <c r="IGT47" s="987"/>
      <c r="IGU47" s="987"/>
      <c r="IGV47" s="987"/>
      <c r="IGW47" s="987"/>
      <c r="IGX47" s="987"/>
      <c r="IGY47" s="987"/>
      <c r="IGZ47" s="987"/>
      <c r="IHA47" s="987"/>
      <c r="IHB47" s="987"/>
      <c r="IHC47" s="987"/>
      <c r="IHD47" s="987"/>
      <c r="IHE47" s="987"/>
      <c r="IHF47" s="987"/>
      <c r="IHG47" s="987"/>
      <c r="IHH47" s="987"/>
      <c r="IHI47" s="987"/>
      <c r="IHJ47" s="987"/>
      <c r="IHK47" s="987"/>
      <c r="IHL47" s="987"/>
      <c r="IHM47" s="987"/>
      <c r="IHN47" s="987"/>
      <c r="IHO47" s="987"/>
      <c r="IHP47" s="987"/>
      <c r="IHQ47" s="987"/>
      <c r="IHR47" s="987"/>
      <c r="IHS47" s="987"/>
      <c r="IHT47" s="987"/>
      <c r="IHU47" s="987"/>
      <c r="IHV47" s="987"/>
      <c r="IHW47" s="987"/>
      <c r="IHX47" s="987"/>
      <c r="IHY47" s="987"/>
      <c r="IHZ47" s="987"/>
      <c r="IIA47" s="987"/>
      <c r="IIB47" s="987"/>
      <c r="IIC47" s="987"/>
      <c r="IID47" s="987"/>
      <c r="IIE47" s="987"/>
      <c r="IIF47" s="987"/>
      <c r="IIG47" s="987"/>
      <c r="IIH47" s="987"/>
      <c r="III47" s="987"/>
      <c r="IIJ47" s="987"/>
      <c r="IIK47" s="987"/>
      <c r="IIL47" s="987"/>
      <c r="IIM47" s="987"/>
      <c r="IIN47" s="987"/>
      <c r="IIO47" s="987"/>
      <c r="IIP47" s="987"/>
      <c r="IIQ47" s="987"/>
      <c r="IIR47" s="987"/>
      <c r="IIS47" s="987"/>
      <c r="IIT47" s="987"/>
      <c r="IIU47" s="987"/>
      <c r="IIV47" s="987"/>
      <c r="IIW47" s="987"/>
      <c r="IIX47" s="987"/>
      <c r="IIY47" s="987"/>
      <c r="IIZ47" s="987"/>
      <c r="IJA47" s="987"/>
      <c r="IJB47" s="987"/>
      <c r="IJC47" s="987"/>
      <c r="IJD47" s="987"/>
      <c r="IJE47" s="987"/>
      <c r="IJF47" s="987"/>
      <c r="IJG47" s="987"/>
      <c r="IJH47" s="987"/>
      <c r="IJI47" s="987"/>
      <c r="IJJ47" s="987"/>
      <c r="IJK47" s="987"/>
      <c r="IJL47" s="987"/>
      <c r="IJM47" s="987"/>
      <c r="IJN47" s="987"/>
      <c r="IJO47" s="987"/>
      <c r="IJP47" s="987"/>
      <c r="IJQ47" s="987"/>
      <c r="IJR47" s="987"/>
      <c r="IJS47" s="987"/>
      <c r="IJT47" s="987"/>
      <c r="IJU47" s="987"/>
      <c r="IJV47" s="987"/>
      <c r="IJW47" s="987"/>
      <c r="IJX47" s="987"/>
      <c r="IJY47" s="987"/>
      <c r="IJZ47" s="987"/>
      <c r="IKA47" s="987"/>
      <c r="IKB47" s="987"/>
      <c r="IKC47" s="987"/>
      <c r="IKD47" s="987"/>
      <c r="IKE47" s="987"/>
      <c r="IKF47" s="987"/>
      <c r="IKG47" s="987"/>
      <c r="IKH47" s="987"/>
      <c r="IKI47" s="987"/>
      <c r="IKJ47" s="987"/>
      <c r="IKK47" s="987"/>
      <c r="IKL47" s="987"/>
      <c r="IKM47" s="987"/>
      <c r="IKN47" s="987"/>
      <c r="IKO47" s="987"/>
      <c r="IKP47" s="987"/>
      <c r="IKQ47" s="987"/>
      <c r="IKR47" s="987"/>
      <c r="IKS47" s="987"/>
      <c r="IKT47" s="987"/>
      <c r="IKU47" s="987"/>
      <c r="IKV47" s="987"/>
      <c r="IKW47" s="987"/>
      <c r="IKX47" s="987"/>
      <c r="IKY47" s="987"/>
      <c r="IKZ47" s="987"/>
      <c r="ILA47" s="987"/>
      <c r="ILB47" s="987"/>
      <c r="ILC47" s="987"/>
      <c r="ILD47" s="987"/>
      <c r="ILE47" s="987"/>
      <c r="ILF47" s="987"/>
      <c r="ILG47" s="987"/>
      <c r="ILH47" s="987"/>
      <c r="ILI47" s="987"/>
      <c r="ILJ47" s="987"/>
      <c r="ILK47" s="987"/>
      <c r="ILL47" s="987"/>
      <c r="ILM47" s="987"/>
      <c r="ILN47" s="987"/>
      <c r="ILO47" s="987"/>
      <c r="ILP47" s="987"/>
      <c r="ILQ47" s="987"/>
      <c r="ILR47" s="987"/>
      <c r="ILS47" s="987"/>
      <c r="ILT47" s="987"/>
      <c r="ILU47" s="987"/>
      <c r="ILV47" s="987"/>
      <c r="ILW47" s="987"/>
      <c r="ILX47" s="987"/>
      <c r="ILY47" s="987"/>
      <c r="ILZ47" s="987"/>
      <c r="IMA47" s="987"/>
      <c r="IMB47" s="987"/>
      <c r="IMC47" s="987"/>
      <c r="IMD47" s="987"/>
      <c r="IME47" s="987"/>
      <c r="IMF47" s="987"/>
      <c r="IMG47" s="987"/>
      <c r="IMH47" s="987"/>
      <c r="IMI47" s="987"/>
      <c r="IMJ47" s="987"/>
      <c r="IMK47" s="987"/>
      <c r="IML47" s="987"/>
      <c r="IMM47" s="987"/>
      <c r="IMN47" s="987"/>
      <c r="IMO47" s="987"/>
      <c r="IMP47" s="987"/>
      <c r="IMQ47" s="987"/>
      <c r="IMR47" s="987"/>
      <c r="IMS47" s="987"/>
      <c r="IMT47" s="987"/>
      <c r="IMU47" s="987"/>
      <c r="IMV47" s="987"/>
      <c r="IMW47" s="987"/>
      <c r="IMX47" s="987"/>
      <c r="IMY47" s="987"/>
      <c r="IMZ47" s="987"/>
      <c r="INA47" s="987"/>
      <c r="INB47" s="987"/>
      <c r="INC47" s="987"/>
      <c r="IND47" s="987"/>
      <c r="INE47" s="987"/>
      <c r="INF47" s="987"/>
      <c r="ING47" s="987"/>
      <c r="INH47" s="987"/>
      <c r="INI47" s="987"/>
      <c r="INJ47" s="987"/>
      <c r="INK47" s="987"/>
      <c r="INL47" s="987"/>
      <c r="INM47" s="987"/>
      <c r="INN47" s="987"/>
      <c r="INO47" s="987"/>
      <c r="INP47" s="987"/>
      <c r="INQ47" s="987"/>
      <c r="INR47" s="987"/>
      <c r="INS47" s="987"/>
      <c r="INT47" s="987"/>
      <c r="INU47" s="987"/>
      <c r="INV47" s="987"/>
      <c r="INW47" s="987"/>
      <c r="INX47" s="987"/>
      <c r="INY47" s="987"/>
      <c r="INZ47" s="987"/>
      <c r="IOA47" s="987"/>
      <c r="IOB47" s="987"/>
      <c r="IOC47" s="987"/>
      <c r="IOD47" s="987"/>
      <c r="IOE47" s="987"/>
      <c r="IOF47" s="987"/>
      <c r="IOG47" s="987"/>
      <c r="IOH47" s="987"/>
      <c r="IOI47" s="987"/>
      <c r="IOJ47" s="987"/>
      <c r="IOK47" s="987"/>
      <c r="IOL47" s="987"/>
      <c r="IOM47" s="987"/>
      <c r="ION47" s="987"/>
      <c r="IOO47" s="987"/>
      <c r="IOP47" s="987"/>
      <c r="IOQ47" s="987"/>
      <c r="IOR47" s="987"/>
      <c r="IOS47" s="987"/>
      <c r="IOT47" s="987"/>
      <c r="IOU47" s="987"/>
      <c r="IOV47" s="987"/>
      <c r="IOW47" s="987"/>
      <c r="IOX47" s="987"/>
      <c r="IOY47" s="987"/>
      <c r="IOZ47" s="987"/>
      <c r="IPA47" s="987"/>
      <c r="IPB47" s="987"/>
      <c r="IPC47" s="987"/>
      <c r="IPD47" s="987"/>
      <c r="IPE47" s="987"/>
      <c r="IPF47" s="987"/>
      <c r="IPG47" s="987"/>
      <c r="IPH47" s="987"/>
      <c r="IPI47" s="987"/>
      <c r="IPJ47" s="987"/>
      <c r="IPK47" s="987"/>
      <c r="IPL47" s="987"/>
      <c r="IPM47" s="987"/>
      <c r="IPN47" s="987"/>
      <c r="IPO47" s="987"/>
      <c r="IPP47" s="987"/>
      <c r="IPQ47" s="987"/>
      <c r="IPR47" s="987"/>
      <c r="IPS47" s="987"/>
      <c r="IPT47" s="987"/>
      <c r="IPU47" s="987"/>
      <c r="IPV47" s="987"/>
      <c r="IPW47" s="987"/>
      <c r="IPX47" s="987"/>
      <c r="IPY47" s="987"/>
      <c r="IPZ47" s="987"/>
      <c r="IQA47" s="987"/>
      <c r="IQB47" s="987"/>
      <c r="IQC47" s="987"/>
      <c r="IQD47" s="987"/>
      <c r="IQE47" s="987"/>
      <c r="IQF47" s="987"/>
      <c r="IQG47" s="987"/>
      <c r="IQH47" s="987"/>
      <c r="IQI47" s="987"/>
      <c r="IQJ47" s="987"/>
      <c r="IQK47" s="987"/>
      <c r="IQL47" s="987"/>
      <c r="IQM47" s="987"/>
      <c r="IQN47" s="987"/>
      <c r="IQO47" s="987"/>
      <c r="IQP47" s="987"/>
      <c r="IQQ47" s="987"/>
      <c r="IQR47" s="987"/>
      <c r="IQS47" s="987"/>
      <c r="IQT47" s="987"/>
      <c r="IQU47" s="987"/>
      <c r="IQV47" s="987"/>
      <c r="IQW47" s="987"/>
      <c r="IQX47" s="987"/>
      <c r="IQY47" s="987"/>
      <c r="IQZ47" s="987"/>
      <c r="IRA47" s="987"/>
      <c r="IRB47" s="987"/>
      <c r="IRC47" s="987"/>
      <c r="IRD47" s="987"/>
      <c r="IRE47" s="987"/>
      <c r="IRF47" s="987"/>
      <c r="IRG47" s="987"/>
      <c r="IRH47" s="987"/>
      <c r="IRI47" s="987"/>
      <c r="IRJ47" s="987"/>
      <c r="IRK47" s="987"/>
      <c r="IRL47" s="987"/>
      <c r="IRM47" s="987"/>
      <c r="IRN47" s="987"/>
      <c r="IRO47" s="987"/>
      <c r="IRP47" s="987"/>
      <c r="IRQ47" s="987"/>
      <c r="IRR47" s="987"/>
      <c r="IRS47" s="987"/>
      <c r="IRT47" s="987"/>
      <c r="IRU47" s="987"/>
      <c r="IRV47" s="987"/>
      <c r="IRW47" s="987"/>
      <c r="IRX47" s="987"/>
      <c r="IRY47" s="987"/>
      <c r="IRZ47" s="987"/>
      <c r="ISA47" s="987"/>
      <c r="ISB47" s="987"/>
      <c r="ISC47" s="987"/>
      <c r="ISD47" s="987"/>
      <c r="ISE47" s="987"/>
      <c r="ISF47" s="987"/>
      <c r="ISG47" s="987"/>
      <c r="ISH47" s="987"/>
      <c r="ISI47" s="987"/>
      <c r="ISJ47" s="987"/>
      <c r="ISK47" s="987"/>
      <c r="ISL47" s="987"/>
      <c r="ISM47" s="987"/>
      <c r="ISN47" s="987"/>
      <c r="ISO47" s="987"/>
      <c r="ISP47" s="987"/>
      <c r="ISQ47" s="987"/>
      <c r="ISR47" s="987"/>
      <c r="ISS47" s="987"/>
      <c r="IST47" s="987"/>
      <c r="ISU47" s="987"/>
      <c r="ISV47" s="987"/>
      <c r="ISW47" s="987"/>
      <c r="ISX47" s="987"/>
      <c r="ISY47" s="987"/>
      <c r="ISZ47" s="987"/>
      <c r="ITA47" s="987"/>
      <c r="ITB47" s="987"/>
      <c r="ITC47" s="987"/>
      <c r="ITD47" s="987"/>
      <c r="ITE47" s="987"/>
      <c r="ITF47" s="987"/>
      <c r="ITG47" s="987"/>
      <c r="ITH47" s="987"/>
      <c r="ITI47" s="987"/>
      <c r="ITJ47" s="987"/>
      <c r="ITK47" s="987"/>
      <c r="ITL47" s="987"/>
      <c r="ITM47" s="987"/>
      <c r="ITN47" s="987"/>
      <c r="ITO47" s="987"/>
      <c r="ITP47" s="987"/>
      <c r="ITQ47" s="987"/>
      <c r="ITR47" s="987"/>
      <c r="ITS47" s="987"/>
      <c r="ITT47" s="987"/>
      <c r="ITU47" s="987"/>
      <c r="ITV47" s="987"/>
      <c r="ITW47" s="987"/>
      <c r="ITX47" s="987"/>
      <c r="ITY47" s="987"/>
      <c r="ITZ47" s="987"/>
      <c r="IUA47" s="987"/>
      <c r="IUB47" s="987"/>
      <c r="IUC47" s="987"/>
      <c r="IUD47" s="987"/>
      <c r="IUE47" s="987"/>
      <c r="IUF47" s="987"/>
      <c r="IUG47" s="987"/>
      <c r="IUH47" s="987"/>
      <c r="IUI47" s="987"/>
      <c r="IUJ47" s="987"/>
      <c r="IUK47" s="987"/>
      <c r="IUL47" s="987"/>
      <c r="IUM47" s="987"/>
      <c r="IUN47" s="987"/>
      <c r="IUO47" s="987"/>
      <c r="IUP47" s="987"/>
      <c r="IUQ47" s="987"/>
      <c r="IUR47" s="987"/>
      <c r="IUS47" s="987"/>
      <c r="IUT47" s="987"/>
      <c r="IUU47" s="987"/>
      <c r="IUV47" s="987"/>
      <c r="IUW47" s="987"/>
      <c r="IUX47" s="987"/>
      <c r="IUY47" s="987"/>
      <c r="IUZ47" s="987"/>
      <c r="IVA47" s="987"/>
      <c r="IVB47" s="987"/>
      <c r="IVC47" s="987"/>
      <c r="IVD47" s="987"/>
      <c r="IVE47" s="987"/>
      <c r="IVF47" s="987"/>
      <c r="IVG47" s="987"/>
      <c r="IVH47" s="987"/>
      <c r="IVI47" s="987"/>
      <c r="IVJ47" s="987"/>
      <c r="IVK47" s="987"/>
      <c r="IVL47" s="987"/>
      <c r="IVM47" s="987"/>
      <c r="IVN47" s="987"/>
      <c r="IVO47" s="987"/>
      <c r="IVP47" s="987"/>
      <c r="IVQ47" s="987"/>
      <c r="IVR47" s="987"/>
      <c r="IVS47" s="987"/>
      <c r="IVT47" s="987"/>
      <c r="IVU47" s="987"/>
      <c r="IVV47" s="987"/>
      <c r="IVW47" s="987"/>
      <c r="IVX47" s="987"/>
      <c r="IVY47" s="987"/>
      <c r="IVZ47" s="987"/>
      <c r="IWA47" s="987"/>
      <c r="IWB47" s="987"/>
      <c r="IWC47" s="987"/>
      <c r="IWD47" s="987"/>
      <c r="IWE47" s="987"/>
      <c r="IWF47" s="987"/>
      <c r="IWG47" s="987"/>
      <c r="IWH47" s="987"/>
      <c r="IWI47" s="987"/>
      <c r="IWJ47" s="987"/>
      <c r="IWK47" s="987"/>
      <c r="IWL47" s="987"/>
      <c r="IWM47" s="987"/>
      <c r="IWN47" s="987"/>
      <c r="IWO47" s="987"/>
      <c r="IWP47" s="987"/>
      <c r="IWQ47" s="987"/>
      <c r="IWR47" s="987"/>
      <c r="IWS47" s="987"/>
      <c r="IWT47" s="987"/>
      <c r="IWU47" s="987"/>
      <c r="IWV47" s="987"/>
      <c r="IWW47" s="987"/>
      <c r="IWX47" s="987"/>
      <c r="IWY47" s="987"/>
      <c r="IWZ47" s="987"/>
      <c r="IXA47" s="987"/>
      <c r="IXB47" s="987"/>
      <c r="IXC47" s="987"/>
      <c r="IXD47" s="987"/>
      <c r="IXE47" s="987"/>
      <c r="IXF47" s="987"/>
      <c r="IXG47" s="987"/>
      <c r="IXH47" s="987"/>
      <c r="IXI47" s="987"/>
      <c r="IXJ47" s="987"/>
      <c r="IXK47" s="987"/>
      <c r="IXL47" s="987"/>
      <c r="IXM47" s="987"/>
      <c r="IXN47" s="987"/>
      <c r="IXO47" s="987"/>
      <c r="IXP47" s="987"/>
      <c r="IXQ47" s="987"/>
      <c r="IXR47" s="987"/>
      <c r="IXS47" s="987"/>
      <c r="IXT47" s="987"/>
      <c r="IXU47" s="987"/>
      <c r="IXV47" s="987"/>
      <c r="IXW47" s="987"/>
      <c r="IXX47" s="987"/>
      <c r="IXY47" s="987"/>
      <c r="IXZ47" s="987"/>
      <c r="IYA47" s="987"/>
      <c r="IYB47" s="987"/>
      <c r="IYC47" s="987"/>
      <c r="IYD47" s="987"/>
      <c r="IYE47" s="987"/>
      <c r="IYF47" s="987"/>
      <c r="IYG47" s="987"/>
      <c r="IYH47" s="987"/>
      <c r="IYI47" s="987"/>
      <c r="IYJ47" s="987"/>
      <c r="IYK47" s="987"/>
      <c r="IYL47" s="987"/>
      <c r="IYM47" s="987"/>
      <c r="IYN47" s="987"/>
      <c r="IYO47" s="987"/>
      <c r="IYP47" s="987"/>
      <c r="IYQ47" s="987"/>
      <c r="IYR47" s="987"/>
      <c r="IYS47" s="987"/>
      <c r="IYT47" s="987"/>
      <c r="IYU47" s="987"/>
      <c r="IYV47" s="987"/>
      <c r="IYW47" s="987"/>
      <c r="IYX47" s="987"/>
      <c r="IYY47" s="987"/>
      <c r="IYZ47" s="987"/>
      <c r="IZA47" s="987"/>
      <c r="IZB47" s="987"/>
      <c r="IZC47" s="987"/>
      <c r="IZD47" s="987"/>
      <c r="IZE47" s="987"/>
      <c r="IZF47" s="987"/>
      <c r="IZG47" s="987"/>
      <c r="IZH47" s="987"/>
      <c r="IZI47" s="987"/>
      <c r="IZJ47" s="987"/>
      <c r="IZK47" s="987"/>
      <c r="IZL47" s="987"/>
      <c r="IZM47" s="987"/>
      <c r="IZN47" s="987"/>
      <c r="IZO47" s="987"/>
      <c r="IZP47" s="987"/>
      <c r="IZQ47" s="987"/>
      <c r="IZR47" s="987"/>
      <c r="IZS47" s="987"/>
      <c r="IZT47" s="987"/>
      <c r="IZU47" s="987"/>
      <c r="IZV47" s="987"/>
      <c r="IZW47" s="987"/>
      <c r="IZX47" s="987"/>
      <c r="IZY47" s="987"/>
      <c r="IZZ47" s="987"/>
      <c r="JAA47" s="987"/>
      <c r="JAB47" s="987"/>
      <c r="JAC47" s="987"/>
      <c r="JAD47" s="987"/>
      <c r="JAE47" s="987"/>
      <c r="JAF47" s="987"/>
      <c r="JAG47" s="987"/>
      <c r="JAH47" s="987"/>
      <c r="JAI47" s="987"/>
      <c r="JAJ47" s="987"/>
      <c r="JAK47" s="987"/>
      <c r="JAL47" s="987"/>
      <c r="JAM47" s="987"/>
      <c r="JAN47" s="987"/>
      <c r="JAO47" s="987"/>
      <c r="JAP47" s="987"/>
      <c r="JAQ47" s="987"/>
      <c r="JAR47" s="987"/>
      <c r="JAS47" s="987"/>
      <c r="JAT47" s="987"/>
      <c r="JAU47" s="987"/>
      <c r="JAV47" s="987"/>
      <c r="JAW47" s="987"/>
      <c r="JAX47" s="987"/>
      <c r="JAY47" s="987"/>
      <c r="JAZ47" s="987"/>
      <c r="JBA47" s="987"/>
      <c r="JBB47" s="987"/>
      <c r="JBC47" s="987"/>
      <c r="JBD47" s="987"/>
      <c r="JBE47" s="987"/>
      <c r="JBF47" s="987"/>
      <c r="JBG47" s="987"/>
      <c r="JBH47" s="987"/>
      <c r="JBI47" s="987"/>
      <c r="JBJ47" s="987"/>
      <c r="JBK47" s="987"/>
      <c r="JBL47" s="987"/>
      <c r="JBM47" s="987"/>
      <c r="JBN47" s="987"/>
      <c r="JBO47" s="987"/>
      <c r="JBP47" s="987"/>
      <c r="JBQ47" s="987"/>
      <c r="JBR47" s="987"/>
      <c r="JBS47" s="987"/>
      <c r="JBT47" s="987"/>
      <c r="JBU47" s="987"/>
      <c r="JBV47" s="987"/>
      <c r="JBW47" s="987"/>
      <c r="JBX47" s="987"/>
      <c r="JBY47" s="987"/>
      <c r="JBZ47" s="987"/>
      <c r="JCA47" s="987"/>
      <c r="JCB47" s="987"/>
      <c r="JCC47" s="987"/>
      <c r="JCD47" s="987"/>
      <c r="JCE47" s="987"/>
      <c r="JCF47" s="987"/>
      <c r="JCG47" s="987"/>
      <c r="JCH47" s="987"/>
      <c r="JCI47" s="987"/>
      <c r="JCJ47" s="987"/>
      <c r="JCK47" s="987"/>
      <c r="JCL47" s="987"/>
      <c r="JCM47" s="987"/>
      <c r="JCN47" s="987"/>
      <c r="JCO47" s="987"/>
      <c r="JCP47" s="987"/>
      <c r="JCQ47" s="987"/>
      <c r="JCR47" s="987"/>
      <c r="JCS47" s="987"/>
      <c r="JCT47" s="987"/>
      <c r="JCU47" s="987"/>
      <c r="JCV47" s="987"/>
      <c r="JCW47" s="987"/>
      <c r="JCX47" s="987"/>
      <c r="JCY47" s="987"/>
      <c r="JCZ47" s="987"/>
      <c r="JDA47" s="987"/>
      <c r="JDB47" s="987"/>
      <c r="JDC47" s="987"/>
      <c r="JDD47" s="987"/>
      <c r="JDE47" s="987"/>
      <c r="JDF47" s="987"/>
      <c r="JDG47" s="987"/>
      <c r="JDH47" s="987"/>
      <c r="JDI47" s="987"/>
      <c r="JDJ47" s="987"/>
      <c r="JDK47" s="987"/>
      <c r="JDL47" s="987"/>
      <c r="JDM47" s="987"/>
      <c r="JDN47" s="987"/>
      <c r="JDO47" s="987"/>
      <c r="JDP47" s="987"/>
      <c r="JDQ47" s="987"/>
      <c r="JDR47" s="987"/>
      <c r="JDS47" s="987"/>
      <c r="JDT47" s="987"/>
      <c r="JDU47" s="987"/>
      <c r="JDV47" s="987"/>
      <c r="JDW47" s="987"/>
      <c r="JDX47" s="987"/>
      <c r="JDY47" s="987"/>
      <c r="JDZ47" s="987"/>
      <c r="JEA47" s="987"/>
      <c r="JEB47" s="987"/>
      <c r="JEC47" s="987"/>
      <c r="JED47" s="987"/>
      <c r="JEE47" s="987"/>
      <c r="JEF47" s="987"/>
      <c r="JEG47" s="987"/>
      <c r="JEH47" s="987"/>
      <c r="JEI47" s="987"/>
      <c r="JEJ47" s="987"/>
      <c r="JEK47" s="987"/>
      <c r="JEL47" s="987"/>
      <c r="JEM47" s="987"/>
      <c r="JEN47" s="987"/>
      <c r="JEO47" s="987"/>
      <c r="JEP47" s="987"/>
      <c r="JEQ47" s="987"/>
      <c r="JER47" s="987"/>
      <c r="JES47" s="987"/>
      <c r="JET47" s="987"/>
      <c r="JEU47" s="987"/>
      <c r="JEV47" s="987"/>
      <c r="JEW47" s="987"/>
      <c r="JEX47" s="987"/>
      <c r="JEY47" s="987"/>
      <c r="JEZ47" s="987"/>
      <c r="JFA47" s="987"/>
      <c r="JFB47" s="987"/>
      <c r="JFC47" s="987"/>
      <c r="JFD47" s="987"/>
      <c r="JFE47" s="987"/>
      <c r="JFF47" s="987"/>
      <c r="JFG47" s="987"/>
      <c r="JFH47" s="987"/>
      <c r="JFI47" s="987"/>
      <c r="JFJ47" s="987"/>
      <c r="JFK47" s="987"/>
      <c r="JFL47" s="987"/>
      <c r="JFM47" s="987"/>
      <c r="JFN47" s="987"/>
      <c r="JFO47" s="987"/>
      <c r="JFP47" s="987"/>
      <c r="JFQ47" s="987"/>
      <c r="JFR47" s="987"/>
      <c r="JFS47" s="987"/>
      <c r="JFT47" s="987"/>
      <c r="JFU47" s="987"/>
      <c r="JFV47" s="987"/>
      <c r="JFW47" s="987"/>
      <c r="JFX47" s="987"/>
      <c r="JFY47" s="987"/>
      <c r="JFZ47" s="987"/>
      <c r="JGA47" s="987"/>
      <c r="JGB47" s="987"/>
      <c r="JGC47" s="987"/>
      <c r="JGD47" s="987"/>
      <c r="JGE47" s="987"/>
      <c r="JGF47" s="987"/>
      <c r="JGG47" s="987"/>
      <c r="JGH47" s="987"/>
      <c r="JGI47" s="987"/>
      <c r="JGJ47" s="987"/>
      <c r="JGK47" s="987"/>
      <c r="JGL47" s="987"/>
      <c r="JGM47" s="987"/>
      <c r="JGN47" s="987"/>
      <c r="JGO47" s="987"/>
      <c r="JGP47" s="987"/>
      <c r="JGQ47" s="987"/>
      <c r="JGR47" s="987"/>
      <c r="JGS47" s="987"/>
      <c r="JGT47" s="987"/>
      <c r="JGU47" s="987"/>
      <c r="JGV47" s="987"/>
      <c r="JGW47" s="987"/>
      <c r="JGX47" s="987"/>
      <c r="JGY47" s="987"/>
      <c r="JGZ47" s="987"/>
      <c r="JHA47" s="987"/>
      <c r="JHB47" s="987"/>
      <c r="JHC47" s="987"/>
      <c r="JHD47" s="987"/>
      <c r="JHE47" s="987"/>
      <c r="JHF47" s="987"/>
      <c r="JHG47" s="987"/>
      <c r="JHH47" s="987"/>
      <c r="JHI47" s="987"/>
      <c r="JHJ47" s="987"/>
      <c r="JHK47" s="987"/>
      <c r="JHL47" s="987"/>
      <c r="JHM47" s="987"/>
      <c r="JHN47" s="987"/>
      <c r="JHO47" s="987"/>
      <c r="JHP47" s="987"/>
      <c r="JHQ47" s="987"/>
      <c r="JHR47" s="987"/>
      <c r="JHS47" s="987"/>
      <c r="JHT47" s="987"/>
      <c r="JHU47" s="987"/>
      <c r="JHV47" s="987"/>
      <c r="JHW47" s="987"/>
      <c r="JHX47" s="987"/>
      <c r="JHY47" s="987"/>
      <c r="JHZ47" s="987"/>
      <c r="JIA47" s="987"/>
      <c r="JIB47" s="987"/>
      <c r="JIC47" s="987"/>
      <c r="JID47" s="987"/>
      <c r="JIE47" s="987"/>
      <c r="JIF47" s="987"/>
      <c r="JIG47" s="987"/>
      <c r="JIH47" s="987"/>
      <c r="JII47" s="987"/>
      <c r="JIJ47" s="987"/>
      <c r="JIK47" s="987"/>
      <c r="JIL47" s="987"/>
      <c r="JIM47" s="987"/>
      <c r="JIN47" s="987"/>
      <c r="JIO47" s="987"/>
      <c r="JIP47" s="987"/>
      <c r="JIQ47" s="987"/>
      <c r="JIR47" s="987"/>
      <c r="JIS47" s="987"/>
      <c r="JIT47" s="987"/>
      <c r="JIU47" s="987"/>
      <c r="JIV47" s="987"/>
      <c r="JIW47" s="987"/>
      <c r="JIX47" s="987"/>
      <c r="JIY47" s="987"/>
      <c r="JIZ47" s="987"/>
      <c r="JJA47" s="987"/>
      <c r="JJB47" s="987"/>
      <c r="JJC47" s="987"/>
      <c r="JJD47" s="987"/>
      <c r="JJE47" s="987"/>
      <c r="JJF47" s="987"/>
      <c r="JJG47" s="987"/>
      <c r="JJH47" s="987"/>
      <c r="JJI47" s="987"/>
      <c r="JJJ47" s="987"/>
      <c r="JJK47" s="987"/>
      <c r="JJL47" s="987"/>
      <c r="JJM47" s="987"/>
      <c r="JJN47" s="987"/>
      <c r="JJO47" s="987"/>
      <c r="JJP47" s="987"/>
      <c r="JJQ47" s="987"/>
      <c r="JJR47" s="987"/>
      <c r="JJS47" s="987"/>
      <c r="JJT47" s="987"/>
      <c r="JJU47" s="987"/>
      <c r="JJV47" s="987"/>
      <c r="JJW47" s="987"/>
      <c r="JJX47" s="987"/>
      <c r="JJY47" s="987"/>
      <c r="JJZ47" s="987"/>
      <c r="JKA47" s="987"/>
      <c r="JKB47" s="987"/>
      <c r="JKC47" s="987"/>
      <c r="JKD47" s="987"/>
      <c r="JKE47" s="987"/>
      <c r="JKF47" s="987"/>
      <c r="JKG47" s="987"/>
      <c r="JKH47" s="987"/>
      <c r="JKI47" s="987"/>
      <c r="JKJ47" s="987"/>
      <c r="JKK47" s="987"/>
      <c r="JKL47" s="987"/>
      <c r="JKM47" s="987"/>
      <c r="JKN47" s="987"/>
      <c r="JKO47" s="987"/>
      <c r="JKP47" s="987"/>
      <c r="JKQ47" s="987"/>
      <c r="JKR47" s="987"/>
      <c r="JKS47" s="987"/>
      <c r="JKT47" s="987"/>
      <c r="JKU47" s="987"/>
      <c r="JKV47" s="987"/>
      <c r="JKW47" s="987"/>
      <c r="JKX47" s="987"/>
      <c r="JKY47" s="987"/>
      <c r="JKZ47" s="987"/>
      <c r="JLA47" s="987"/>
      <c r="JLB47" s="987"/>
      <c r="JLC47" s="987"/>
      <c r="JLD47" s="987"/>
      <c r="JLE47" s="987"/>
      <c r="JLF47" s="987"/>
      <c r="JLG47" s="987"/>
      <c r="JLH47" s="987"/>
      <c r="JLI47" s="987"/>
      <c r="JLJ47" s="987"/>
      <c r="JLK47" s="987"/>
      <c r="JLL47" s="987"/>
      <c r="JLM47" s="987"/>
      <c r="JLN47" s="987"/>
      <c r="JLO47" s="987"/>
      <c r="JLP47" s="987"/>
      <c r="JLQ47" s="987"/>
      <c r="JLR47" s="987"/>
      <c r="JLS47" s="987"/>
      <c r="JLT47" s="987"/>
      <c r="JLU47" s="987"/>
      <c r="JLV47" s="987"/>
      <c r="JLW47" s="987"/>
      <c r="JLX47" s="987"/>
      <c r="JLY47" s="987"/>
      <c r="JLZ47" s="987"/>
      <c r="JMA47" s="987"/>
      <c r="JMB47" s="987"/>
      <c r="JMC47" s="987"/>
      <c r="JMD47" s="987"/>
      <c r="JME47" s="987"/>
      <c r="JMF47" s="987"/>
      <c r="JMG47" s="987"/>
      <c r="JMH47" s="987"/>
      <c r="JMI47" s="987"/>
      <c r="JMJ47" s="987"/>
      <c r="JMK47" s="987"/>
      <c r="JML47" s="987"/>
      <c r="JMM47" s="987"/>
      <c r="JMN47" s="987"/>
      <c r="JMO47" s="987"/>
      <c r="JMP47" s="987"/>
      <c r="JMQ47" s="987"/>
      <c r="JMR47" s="987"/>
      <c r="JMS47" s="987"/>
      <c r="JMT47" s="987"/>
      <c r="JMU47" s="987"/>
      <c r="JMV47" s="987"/>
      <c r="JMW47" s="987"/>
      <c r="JMX47" s="987"/>
      <c r="JMY47" s="987"/>
      <c r="JMZ47" s="987"/>
      <c r="JNA47" s="987"/>
      <c r="JNB47" s="987"/>
      <c r="JNC47" s="987"/>
      <c r="JND47" s="987"/>
      <c r="JNE47" s="987"/>
      <c r="JNF47" s="987"/>
      <c r="JNG47" s="987"/>
      <c r="JNH47" s="987"/>
      <c r="JNI47" s="987"/>
      <c r="JNJ47" s="987"/>
      <c r="JNK47" s="987"/>
      <c r="JNL47" s="987"/>
      <c r="JNM47" s="987"/>
      <c r="JNN47" s="987"/>
      <c r="JNO47" s="987"/>
      <c r="JNP47" s="987"/>
      <c r="JNQ47" s="987"/>
      <c r="JNR47" s="987"/>
      <c r="JNS47" s="987"/>
      <c r="JNT47" s="987"/>
      <c r="JNU47" s="987"/>
      <c r="JNV47" s="987"/>
      <c r="JNW47" s="987"/>
      <c r="JNX47" s="987"/>
      <c r="JNY47" s="987"/>
      <c r="JNZ47" s="987"/>
      <c r="JOA47" s="987"/>
      <c r="JOB47" s="987"/>
      <c r="JOC47" s="987"/>
      <c r="JOD47" s="987"/>
      <c r="JOE47" s="987"/>
      <c r="JOF47" s="987"/>
      <c r="JOG47" s="987"/>
      <c r="JOH47" s="987"/>
      <c r="JOI47" s="987"/>
      <c r="JOJ47" s="987"/>
      <c r="JOK47" s="987"/>
      <c r="JOL47" s="987"/>
      <c r="JOM47" s="987"/>
      <c r="JON47" s="987"/>
      <c r="JOO47" s="987"/>
      <c r="JOP47" s="987"/>
      <c r="JOQ47" s="987"/>
      <c r="JOR47" s="987"/>
      <c r="JOS47" s="987"/>
      <c r="JOT47" s="987"/>
      <c r="JOU47" s="987"/>
      <c r="JOV47" s="987"/>
      <c r="JOW47" s="987"/>
      <c r="JOX47" s="987"/>
      <c r="JOY47" s="987"/>
      <c r="JOZ47" s="987"/>
      <c r="JPA47" s="987"/>
      <c r="JPB47" s="987"/>
      <c r="JPC47" s="987"/>
      <c r="JPD47" s="987"/>
      <c r="JPE47" s="987"/>
      <c r="JPF47" s="987"/>
      <c r="JPG47" s="987"/>
      <c r="JPH47" s="987"/>
      <c r="JPI47" s="987"/>
      <c r="JPJ47" s="987"/>
      <c r="JPK47" s="987"/>
      <c r="JPL47" s="987"/>
      <c r="JPM47" s="987"/>
      <c r="JPN47" s="987"/>
      <c r="JPO47" s="987"/>
      <c r="JPP47" s="987"/>
      <c r="JPQ47" s="987"/>
      <c r="JPR47" s="987"/>
      <c r="JPS47" s="987"/>
      <c r="JPT47" s="987"/>
      <c r="JPU47" s="987"/>
      <c r="JPV47" s="987"/>
      <c r="JPW47" s="987"/>
      <c r="JPX47" s="987"/>
      <c r="JPY47" s="987"/>
      <c r="JPZ47" s="987"/>
      <c r="JQA47" s="987"/>
      <c r="JQB47" s="987"/>
      <c r="JQC47" s="987"/>
      <c r="JQD47" s="987"/>
      <c r="JQE47" s="987"/>
      <c r="JQF47" s="987"/>
      <c r="JQG47" s="987"/>
      <c r="JQH47" s="987"/>
      <c r="JQI47" s="987"/>
      <c r="JQJ47" s="987"/>
      <c r="JQK47" s="987"/>
      <c r="JQL47" s="987"/>
      <c r="JQM47" s="987"/>
      <c r="JQN47" s="987"/>
      <c r="JQO47" s="987"/>
      <c r="JQP47" s="987"/>
      <c r="JQQ47" s="987"/>
      <c r="JQR47" s="987"/>
      <c r="JQS47" s="987"/>
      <c r="JQT47" s="987"/>
      <c r="JQU47" s="987"/>
      <c r="JQV47" s="987"/>
      <c r="JQW47" s="987"/>
      <c r="JQX47" s="987"/>
      <c r="JQY47" s="987"/>
      <c r="JQZ47" s="987"/>
      <c r="JRA47" s="987"/>
      <c r="JRB47" s="987"/>
      <c r="JRC47" s="987"/>
      <c r="JRD47" s="987"/>
      <c r="JRE47" s="987"/>
      <c r="JRF47" s="987"/>
      <c r="JRG47" s="987"/>
      <c r="JRH47" s="987"/>
      <c r="JRI47" s="987"/>
      <c r="JRJ47" s="987"/>
      <c r="JRK47" s="987"/>
      <c r="JRL47" s="987"/>
      <c r="JRM47" s="987"/>
      <c r="JRN47" s="987"/>
      <c r="JRO47" s="987"/>
      <c r="JRP47" s="987"/>
      <c r="JRQ47" s="987"/>
      <c r="JRR47" s="987"/>
      <c r="JRS47" s="987"/>
      <c r="JRT47" s="987"/>
      <c r="JRU47" s="987"/>
      <c r="JRV47" s="987"/>
      <c r="JRW47" s="987"/>
      <c r="JRX47" s="987"/>
      <c r="JRY47" s="987"/>
      <c r="JRZ47" s="987"/>
      <c r="JSA47" s="987"/>
      <c r="JSB47" s="987"/>
      <c r="JSC47" s="987"/>
      <c r="JSD47" s="987"/>
      <c r="JSE47" s="987"/>
      <c r="JSF47" s="987"/>
      <c r="JSG47" s="987"/>
      <c r="JSH47" s="987"/>
      <c r="JSI47" s="987"/>
      <c r="JSJ47" s="987"/>
      <c r="JSK47" s="987"/>
      <c r="JSL47" s="987"/>
      <c r="JSM47" s="987"/>
      <c r="JSN47" s="987"/>
      <c r="JSO47" s="987"/>
      <c r="JSP47" s="987"/>
      <c r="JSQ47" s="987"/>
      <c r="JSR47" s="987"/>
      <c r="JSS47" s="987"/>
      <c r="JST47" s="987"/>
      <c r="JSU47" s="987"/>
      <c r="JSV47" s="987"/>
      <c r="JSW47" s="987"/>
      <c r="JSX47" s="987"/>
      <c r="JSY47" s="987"/>
      <c r="JSZ47" s="987"/>
      <c r="JTA47" s="987"/>
      <c r="JTB47" s="987"/>
      <c r="JTC47" s="987"/>
      <c r="JTD47" s="987"/>
      <c r="JTE47" s="987"/>
      <c r="JTF47" s="987"/>
      <c r="JTG47" s="987"/>
      <c r="JTH47" s="987"/>
      <c r="JTI47" s="987"/>
      <c r="JTJ47" s="987"/>
      <c r="JTK47" s="987"/>
      <c r="JTL47" s="987"/>
      <c r="JTM47" s="987"/>
      <c r="JTN47" s="987"/>
      <c r="JTO47" s="987"/>
      <c r="JTP47" s="987"/>
      <c r="JTQ47" s="987"/>
      <c r="JTR47" s="987"/>
      <c r="JTS47" s="987"/>
      <c r="JTT47" s="987"/>
      <c r="JTU47" s="987"/>
      <c r="JTV47" s="987"/>
      <c r="JTW47" s="987"/>
      <c r="JTX47" s="987"/>
      <c r="JTY47" s="987"/>
      <c r="JTZ47" s="987"/>
      <c r="JUA47" s="987"/>
      <c r="JUB47" s="987"/>
      <c r="JUC47" s="987"/>
      <c r="JUD47" s="987"/>
      <c r="JUE47" s="987"/>
      <c r="JUF47" s="987"/>
      <c r="JUG47" s="987"/>
      <c r="JUH47" s="987"/>
      <c r="JUI47" s="987"/>
      <c r="JUJ47" s="987"/>
      <c r="JUK47" s="987"/>
      <c r="JUL47" s="987"/>
      <c r="JUM47" s="987"/>
      <c r="JUN47" s="987"/>
      <c r="JUO47" s="987"/>
      <c r="JUP47" s="987"/>
      <c r="JUQ47" s="987"/>
      <c r="JUR47" s="987"/>
      <c r="JUS47" s="987"/>
      <c r="JUT47" s="987"/>
      <c r="JUU47" s="987"/>
      <c r="JUV47" s="987"/>
      <c r="JUW47" s="987"/>
      <c r="JUX47" s="987"/>
      <c r="JUY47" s="987"/>
      <c r="JUZ47" s="987"/>
      <c r="JVA47" s="987"/>
      <c r="JVB47" s="987"/>
      <c r="JVC47" s="987"/>
      <c r="JVD47" s="987"/>
      <c r="JVE47" s="987"/>
      <c r="JVF47" s="987"/>
      <c r="JVG47" s="987"/>
      <c r="JVH47" s="987"/>
      <c r="JVI47" s="987"/>
      <c r="JVJ47" s="987"/>
      <c r="JVK47" s="987"/>
      <c r="JVL47" s="987"/>
      <c r="JVM47" s="987"/>
      <c r="JVN47" s="987"/>
      <c r="JVO47" s="987"/>
      <c r="JVP47" s="987"/>
      <c r="JVQ47" s="987"/>
      <c r="JVR47" s="987"/>
      <c r="JVS47" s="987"/>
      <c r="JVT47" s="987"/>
      <c r="JVU47" s="987"/>
      <c r="JVV47" s="987"/>
      <c r="JVW47" s="987"/>
      <c r="JVX47" s="987"/>
      <c r="JVY47" s="987"/>
      <c r="JVZ47" s="987"/>
      <c r="JWA47" s="987"/>
      <c r="JWB47" s="987"/>
      <c r="JWC47" s="987"/>
      <c r="JWD47" s="987"/>
      <c r="JWE47" s="987"/>
      <c r="JWF47" s="987"/>
      <c r="JWG47" s="987"/>
      <c r="JWH47" s="987"/>
      <c r="JWI47" s="987"/>
      <c r="JWJ47" s="987"/>
      <c r="JWK47" s="987"/>
      <c r="JWL47" s="987"/>
      <c r="JWM47" s="987"/>
      <c r="JWN47" s="987"/>
      <c r="JWO47" s="987"/>
      <c r="JWP47" s="987"/>
      <c r="JWQ47" s="987"/>
      <c r="JWR47" s="987"/>
      <c r="JWS47" s="987"/>
      <c r="JWT47" s="987"/>
      <c r="JWU47" s="987"/>
      <c r="JWV47" s="987"/>
      <c r="JWW47" s="987"/>
      <c r="JWX47" s="987"/>
      <c r="JWY47" s="987"/>
      <c r="JWZ47" s="987"/>
      <c r="JXA47" s="987"/>
      <c r="JXB47" s="987"/>
      <c r="JXC47" s="987"/>
      <c r="JXD47" s="987"/>
      <c r="JXE47" s="987"/>
      <c r="JXF47" s="987"/>
      <c r="JXG47" s="987"/>
      <c r="JXH47" s="987"/>
      <c r="JXI47" s="987"/>
      <c r="JXJ47" s="987"/>
      <c r="JXK47" s="987"/>
      <c r="JXL47" s="987"/>
      <c r="JXM47" s="987"/>
      <c r="JXN47" s="987"/>
      <c r="JXO47" s="987"/>
      <c r="JXP47" s="987"/>
      <c r="JXQ47" s="987"/>
      <c r="JXR47" s="987"/>
      <c r="JXS47" s="987"/>
      <c r="JXT47" s="987"/>
      <c r="JXU47" s="987"/>
      <c r="JXV47" s="987"/>
      <c r="JXW47" s="987"/>
      <c r="JXX47" s="987"/>
      <c r="JXY47" s="987"/>
      <c r="JXZ47" s="987"/>
      <c r="JYA47" s="987"/>
      <c r="JYB47" s="987"/>
      <c r="JYC47" s="987"/>
      <c r="JYD47" s="987"/>
      <c r="JYE47" s="987"/>
      <c r="JYF47" s="987"/>
      <c r="JYG47" s="987"/>
      <c r="JYH47" s="987"/>
      <c r="JYI47" s="987"/>
      <c r="JYJ47" s="987"/>
      <c r="JYK47" s="987"/>
      <c r="JYL47" s="987"/>
      <c r="JYM47" s="987"/>
      <c r="JYN47" s="987"/>
      <c r="JYO47" s="987"/>
      <c r="JYP47" s="987"/>
      <c r="JYQ47" s="987"/>
      <c r="JYR47" s="987"/>
      <c r="JYS47" s="987"/>
      <c r="JYT47" s="987"/>
      <c r="JYU47" s="987"/>
      <c r="JYV47" s="987"/>
      <c r="JYW47" s="987"/>
      <c r="JYX47" s="987"/>
      <c r="JYY47" s="987"/>
      <c r="JYZ47" s="987"/>
      <c r="JZA47" s="987"/>
      <c r="JZB47" s="987"/>
      <c r="JZC47" s="987"/>
      <c r="JZD47" s="987"/>
      <c r="JZE47" s="987"/>
      <c r="JZF47" s="987"/>
      <c r="JZG47" s="987"/>
      <c r="JZH47" s="987"/>
      <c r="JZI47" s="987"/>
      <c r="JZJ47" s="987"/>
      <c r="JZK47" s="987"/>
      <c r="JZL47" s="987"/>
      <c r="JZM47" s="987"/>
      <c r="JZN47" s="987"/>
      <c r="JZO47" s="987"/>
      <c r="JZP47" s="987"/>
      <c r="JZQ47" s="987"/>
      <c r="JZR47" s="987"/>
      <c r="JZS47" s="987"/>
      <c r="JZT47" s="987"/>
      <c r="JZU47" s="987"/>
      <c r="JZV47" s="987"/>
      <c r="JZW47" s="987"/>
      <c r="JZX47" s="987"/>
      <c r="JZY47" s="987"/>
      <c r="JZZ47" s="987"/>
      <c r="KAA47" s="987"/>
      <c r="KAB47" s="987"/>
      <c r="KAC47" s="987"/>
      <c r="KAD47" s="987"/>
      <c r="KAE47" s="987"/>
      <c r="KAF47" s="987"/>
      <c r="KAG47" s="987"/>
      <c r="KAH47" s="987"/>
      <c r="KAI47" s="987"/>
      <c r="KAJ47" s="987"/>
      <c r="KAK47" s="987"/>
      <c r="KAL47" s="987"/>
      <c r="KAM47" s="987"/>
      <c r="KAN47" s="987"/>
      <c r="KAO47" s="987"/>
      <c r="KAP47" s="987"/>
      <c r="KAQ47" s="987"/>
      <c r="KAR47" s="987"/>
      <c r="KAS47" s="987"/>
      <c r="KAT47" s="987"/>
      <c r="KAU47" s="987"/>
      <c r="KAV47" s="987"/>
      <c r="KAW47" s="987"/>
      <c r="KAX47" s="987"/>
      <c r="KAY47" s="987"/>
      <c r="KAZ47" s="987"/>
      <c r="KBA47" s="987"/>
      <c r="KBB47" s="987"/>
      <c r="KBC47" s="987"/>
      <c r="KBD47" s="987"/>
      <c r="KBE47" s="987"/>
      <c r="KBF47" s="987"/>
      <c r="KBG47" s="987"/>
      <c r="KBH47" s="987"/>
      <c r="KBI47" s="987"/>
      <c r="KBJ47" s="987"/>
      <c r="KBK47" s="987"/>
      <c r="KBL47" s="987"/>
      <c r="KBM47" s="987"/>
      <c r="KBN47" s="987"/>
      <c r="KBO47" s="987"/>
      <c r="KBP47" s="987"/>
      <c r="KBQ47" s="987"/>
      <c r="KBR47" s="987"/>
      <c r="KBS47" s="987"/>
      <c r="KBT47" s="987"/>
      <c r="KBU47" s="987"/>
      <c r="KBV47" s="987"/>
      <c r="KBW47" s="987"/>
      <c r="KBX47" s="987"/>
      <c r="KBY47" s="987"/>
      <c r="KBZ47" s="987"/>
      <c r="KCA47" s="987"/>
      <c r="KCB47" s="987"/>
      <c r="KCC47" s="987"/>
      <c r="KCD47" s="987"/>
      <c r="KCE47" s="987"/>
      <c r="KCF47" s="987"/>
      <c r="KCG47" s="987"/>
      <c r="KCH47" s="987"/>
      <c r="KCI47" s="987"/>
      <c r="KCJ47" s="987"/>
      <c r="KCK47" s="987"/>
      <c r="KCL47" s="987"/>
      <c r="KCM47" s="987"/>
      <c r="KCN47" s="987"/>
      <c r="KCO47" s="987"/>
      <c r="KCP47" s="987"/>
      <c r="KCQ47" s="987"/>
      <c r="KCR47" s="987"/>
      <c r="KCS47" s="987"/>
      <c r="KCT47" s="987"/>
      <c r="KCU47" s="987"/>
      <c r="KCV47" s="987"/>
      <c r="KCW47" s="987"/>
      <c r="KCX47" s="987"/>
      <c r="KCY47" s="987"/>
      <c r="KCZ47" s="987"/>
      <c r="KDA47" s="987"/>
      <c r="KDB47" s="987"/>
      <c r="KDC47" s="987"/>
      <c r="KDD47" s="987"/>
      <c r="KDE47" s="987"/>
      <c r="KDF47" s="987"/>
      <c r="KDG47" s="987"/>
      <c r="KDH47" s="987"/>
      <c r="KDI47" s="987"/>
      <c r="KDJ47" s="987"/>
      <c r="KDK47" s="987"/>
      <c r="KDL47" s="987"/>
      <c r="KDM47" s="987"/>
      <c r="KDN47" s="987"/>
      <c r="KDO47" s="987"/>
      <c r="KDP47" s="987"/>
      <c r="KDQ47" s="987"/>
      <c r="KDR47" s="987"/>
      <c r="KDS47" s="987"/>
      <c r="KDT47" s="987"/>
      <c r="KDU47" s="987"/>
      <c r="KDV47" s="987"/>
      <c r="KDW47" s="987"/>
      <c r="KDX47" s="987"/>
      <c r="KDY47" s="987"/>
      <c r="KDZ47" s="987"/>
      <c r="KEA47" s="987"/>
      <c r="KEB47" s="987"/>
      <c r="KEC47" s="987"/>
      <c r="KED47" s="987"/>
      <c r="KEE47" s="987"/>
      <c r="KEF47" s="987"/>
      <c r="KEG47" s="987"/>
      <c r="KEH47" s="987"/>
      <c r="KEI47" s="987"/>
      <c r="KEJ47" s="987"/>
      <c r="KEK47" s="987"/>
      <c r="KEL47" s="987"/>
      <c r="KEM47" s="987"/>
      <c r="KEN47" s="987"/>
      <c r="KEO47" s="987"/>
      <c r="KEP47" s="987"/>
      <c r="KEQ47" s="987"/>
      <c r="KER47" s="987"/>
      <c r="KES47" s="987"/>
      <c r="KET47" s="987"/>
      <c r="KEU47" s="987"/>
      <c r="KEV47" s="987"/>
      <c r="KEW47" s="987"/>
      <c r="KEX47" s="987"/>
      <c r="KEY47" s="987"/>
      <c r="KEZ47" s="987"/>
      <c r="KFA47" s="987"/>
      <c r="KFB47" s="987"/>
      <c r="KFC47" s="987"/>
      <c r="KFD47" s="987"/>
      <c r="KFE47" s="987"/>
      <c r="KFF47" s="987"/>
      <c r="KFG47" s="987"/>
      <c r="KFH47" s="987"/>
      <c r="KFI47" s="987"/>
      <c r="KFJ47" s="987"/>
      <c r="KFK47" s="987"/>
      <c r="KFL47" s="987"/>
      <c r="KFM47" s="987"/>
      <c r="KFN47" s="987"/>
      <c r="KFO47" s="987"/>
      <c r="KFP47" s="987"/>
      <c r="KFQ47" s="987"/>
      <c r="KFR47" s="987"/>
      <c r="KFS47" s="987"/>
      <c r="KFT47" s="987"/>
      <c r="KFU47" s="987"/>
      <c r="KFV47" s="987"/>
      <c r="KFW47" s="987"/>
      <c r="KFX47" s="987"/>
      <c r="KFY47" s="987"/>
      <c r="KFZ47" s="987"/>
      <c r="KGA47" s="987"/>
      <c r="KGB47" s="987"/>
      <c r="KGC47" s="987"/>
      <c r="KGD47" s="987"/>
      <c r="KGE47" s="987"/>
      <c r="KGF47" s="987"/>
      <c r="KGG47" s="987"/>
      <c r="KGH47" s="987"/>
      <c r="KGI47" s="987"/>
      <c r="KGJ47" s="987"/>
      <c r="KGK47" s="987"/>
      <c r="KGL47" s="987"/>
      <c r="KGM47" s="987"/>
      <c r="KGN47" s="987"/>
      <c r="KGO47" s="987"/>
      <c r="KGP47" s="987"/>
      <c r="KGQ47" s="987"/>
      <c r="KGR47" s="987"/>
      <c r="KGS47" s="987"/>
      <c r="KGT47" s="987"/>
      <c r="KGU47" s="987"/>
      <c r="KGV47" s="987"/>
      <c r="KGW47" s="987"/>
      <c r="KGX47" s="987"/>
      <c r="KGY47" s="987"/>
      <c r="KGZ47" s="987"/>
      <c r="KHA47" s="987"/>
      <c r="KHB47" s="987"/>
      <c r="KHC47" s="987"/>
      <c r="KHD47" s="987"/>
      <c r="KHE47" s="987"/>
      <c r="KHF47" s="987"/>
      <c r="KHG47" s="987"/>
      <c r="KHH47" s="987"/>
      <c r="KHI47" s="987"/>
      <c r="KHJ47" s="987"/>
      <c r="KHK47" s="987"/>
      <c r="KHL47" s="987"/>
      <c r="KHM47" s="987"/>
      <c r="KHN47" s="987"/>
      <c r="KHO47" s="987"/>
      <c r="KHP47" s="987"/>
      <c r="KHQ47" s="987"/>
      <c r="KHR47" s="987"/>
      <c r="KHS47" s="987"/>
      <c r="KHT47" s="987"/>
      <c r="KHU47" s="987"/>
      <c r="KHV47" s="987"/>
      <c r="KHW47" s="987"/>
      <c r="KHX47" s="987"/>
      <c r="KHY47" s="987"/>
      <c r="KHZ47" s="987"/>
      <c r="KIA47" s="987"/>
      <c r="KIB47" s="987"/>
      <c r="KIC47" s="987"/>
      <c r="KID47" s="987"/>
      <c r="KIE47" s="987"/>
      <c r="KIF47" s="987"/>
      <c r="KIG47" s="987"/>
      <c r="KIH47" s="987"/>
      <c r="KII47" s="987"/>
      <c r="KIJ47" s="987"/>
      <c r="KIK47" s="987"/>
      <c r="KIL47" s="987"/>
      <c r="KIM47" s="987"/>
      <c r="KIN47" s="987"/>
      <c r="KIO47" s="987"/>
      <c r="KIP47" s="987"/>
      <c r="KIQ47" s="987"/>
      <c r="KIR47" s="987"/>
      <c r="KIS47" s="987"/>
      <c r="KIT47" s="987"/>
      <c r="KIU47" s="987"/>
      <c r="KIV47" s="987"/>
      <c r="KIW47" s="987"/>
      <c r="KIX47" s="987"/>
      <c r="KIY47" s="987"/>
      <c r="KIZ47" s="987"/>
      <c r="KJA47" s="987"/>
      <c r="KJB47" s="987"/>
      <c r="KJC47" s="987"/>
      <c r="KJD47" s="987"/>
      <c r="KJE47" s="987"/>
      <c r="KJF47" s="987"/>
      <c r="KJG47" s="987"/>
      <c r="KJH47" s="987"/>
      <c r="KJI47" s="987"/>
      <c r="KJJ47" s="987"/>
      <c r="KJK47" s="987"/>
      <c r="KJL47" s="987"/>
      <c r="KJM47" s="987"/>
      <c r="KJN47" s="987"/>
      <c r="KJO47" s="987"/>
      <c r="KJP47" s="987"/>
      <c r="KJQ47" s="987"/>
      <c r="KJR47" s="987"/>
      <c r="KJS47" s="987"/>
      <c r="KJT47" s="987"/>
      <c r="KJU47" s="987"/>
      <c r="KJV47" s="987"/>
      <c r="KJW47" s="987"/>
      <c r="KJX47" s="987"/>
      <c r="KJY47" s="987"/>
      <c r="KJZ47" s="987"/>
      <c r="KKA47" s="987"/>
      <c r="KKB47" s="987"/>
      <c r="KKC47" s="987"/>
      <c r="KKD47" s="987"/>
      <c r="KKE47" s="987"/>
      <c r="KKF47" s="987"/>
      <c r="KKG47" s="987"/>
      <c r="KKH47" s="987"/>
      <c r="KKI47" s="987"/>
      <c r="KKJ47" s="987"/>
      <c r="KKK47" s="987"/>
      <c r="KKL47" s="987"/>
      <c r="KKM47" s="987"/>
      <c r="KKN47" s="987"/>
      <c r="KKO47" s="987"/>
      <c r="KKP47" s="987"/>
      <c r="KKQ47" s="987"/>
      <c r="KKR47" s="987"/>
      <c r="KKS47" s="987"/>
      <c r="KKT47" s="987"/>
      <c r="KKU47" s="987"/>
      <c r="KKV47" s="987"/>
      <c r="KKW47" s="987"/>
      <c r="KKX47" s="987"/>
      <c r="KKY47" s="987"/>
      <c r="KKZ47" s="987"/>
      <c r="KLA47" s="987"/>
      <c r="KLB47" s="987"/>
      <c r="KLC47" s="987"/>
      <c r="KLD47" s="987"/>
      <c r="KLE47" s="987"/>
      <c r="KLF47" s="987"/>
      <c r="KLG47" s="987"/>
      <c r="KLH47" s="987"/>
      <c r="KLI47" s="987"/>
      <c r="KLJ47" s="987"/>
      <c r="KLK47" s="987"/>
      <c r="KLL47" s="987"/>
      <c r="KLM47" s="987"/>
      <c r="KLN47" s="987"/>
      <c r="KLO47" s="987"/>
      <c r="KLP47" s="987"/>
      <c r="KLQ47" s="987"/>
      <c r="KLR47" s="987"/>
      <c r="KLS47" s="987"/>
      <c r="KLT47" s="987"/>
      <c r="KLU47" s="987"/>
      <c r="KLV47" s="987"/>
      <c r="KLW47" s="987"/>
      <c r="KLX47" s="987"/>
      <c r="KLY47" s="987"/>
      <c r="KLZ47" s="987"/>
      <c r="KMA47" s="987"/>
      <c r="KMB47" s="987"/>
      <c r="KMC47" s="987"/>
      <c r="KMD47" s="987"/>
      <c r="KME47" s="987"/>
      <c r="KMF47" s="987"/>
      <c r="KMG47" s="987"/>
      <c r="KMH47" s="987"/>
      <c r="KMI47" s="987"/>
      <c r="KMJ47" s="987"/>
      <c r="KMK47" s="987"/>
      <c r="KML47" s="987"/>
      <c r="KMM47" s="987"/>
      <c r="KMN47" s="987"/>
      <c r="KMO47" s="987"/>
      <c r="KMP47" s="987"/>
      <c r="KMQ47" s="987"/>
      <c r="KMR47" s="987"/>
      <c r="KMS47" s="987"/>
      <c r="KMT47" s="987"/>
      <c r="KMU47" s="987"/>
      <c r="KMV47" s="987"/>
      <c r="KMW47" s="987"/>
      <c r="KMX47" s="987"/>
      <c r="KMY47" s="987"/>
      <c r="KMZ47" s="987"/>
      <c r="KNA47" s="987"/>
      <c r="KNB47" s="987"/>
      <c r="KNC47" s="987"/>
      <c r="KND47" s="987"/>
      <c r="KNE47" s="987"/>
      <c r="KNF47" s="987"/>
      <c r="KNG47" s="987"/>
      <c r="KNH47" s="987"/>
      <c r="KNI47" s="987"/>
      <c r="KNJ47" s="987"/>
      <c r="KNK47" s="987"/>
      <c r="KNL47" s="987"/>
      <c r="KNM47" s="987"/>
      <c r="KNN47" s="987"/>
      <c r="KNO47" s="987"/>
      <c r="KNP47" s="987"/>
      <c r="KNQ47" s="987"/>
      <c r="KNR47" s="987"/>
      <c r="KNS47" s="987"/>
      <c r="KNT47" s="987"/>
      <c r="KNU47" s="987"/>
      <c r="KNV47" s="987"/>
      <c r="KNW47" s="987"/>
      <c r="KNX47" s="987"/>
      <c r="KNY47" s="987"/>
      <c r="KNZ47" s="987"/>
      <c r="KOA47" s="987"/>
      <c r="KOB47" s="987"/>
      <c r="KOC47" s="987"/>
      <c r="KOD47" s="987"/>
      <c r="KOE47" s="987"/>
      <c r="KOF47" s="987"/>
      <c r="KOG47" s="987"/>
      <c r="KOH47" s="987"/>
      <c r="KOI47" s="987"/>
      <c r="KOJ47" s="987"/>
      <c r="KOK47" s="987"/>
      <c r="KOL47" s="987"/>
      <c r="KOM47" s="987"/>
      <c r="KON47" s="987"/>
      <c r="KOO47" s="987"/>
      <c r="KOP47" s="987"/>
      <c r="KOQ47" s="987"/>
      <c r="KOR47" s="987"/>
      <c r="KOS47" s="987"/>
      <c r="KOT47" s="987"/>
      <c r="KOU47" s="987"/>
      <c r="KOV47" s="987"/>
      <c r="KOW47" s="987"/>
      <c r="KOX47" s="987"/>
      <c r="KOY47" s="987"/>
      <c r="KOZ47" s="987"/>
      <c r="KPA47" s="987"/>
      <c r="KPB47" s="987"/>
      <c r="KPC47" s="987"/>
      <c r="KPD47" s="987"/>
      <c r="KPE47" s="987"/>
      <c r="KPF47" s="987"/>
      <c r="KPG47" s="987"/>
      <c r="KPH47" s="987"/>
      <c r="KPI47" s="987"/>
      <c r="KPJ47" s="987"/>
      <c r="KPK47" s="987"/>
      <c r="KPL47" s="987"/>
      <c r="KPM47" s="987"/>
      <c r="KPN47" s="987"/>
      <c r="KPO47" s="987"/>
      <c r="KPP47" s="987"/>
      <c r="KPQ47" s="987"/>
      <c r="KPR47" s="987"/>
      <c r="KPS47" s="987"/>
      <c r="KPT47" s="987"/>
      <c r="KPU47" s="987"/>
      <c r="KPV47" s="987"/>
      <c r="KPW47" s="987"/>
      <c r="KPX47" s="987"/>
      <c r="KPY47" s="987"/>
      <c r="KPZ47" s="987"/>
      <c r="KQA47" s="987"/>
      <c r="KQB47" s="987"/>
      <c r="KQC47" s="987"/>
      <c r="KQD47" s="987"/>
      <c r="KQE47" s="987"/>
      <c r="KQF47" s="987"/>
      <c r="KQG47" s="987"/>
      <c r="KQH47" s="987"/>
      <c r="KQI47" s="987"/>
      <c r="KQJ47" s="987"/>
      <c r="KQK47" s="987"/>
      <c r="KQL47" s="987"/>
      <c r="KQM47" s="987"/>
      <c r="KQN47" s="987"/>
      <c r="KQO47" s="987"/>
      <c r="KQP47" s="987"/>
      <c r="KQQ47" s="987"/>
      <c r="KQR47" s="987"/>
      <c r="KQS47" s="987"/>
      <c r="KQT47" s="987"/>
      <c r="KQU47" s="987"/>
      <c r="KQV47" s="987"/>
      <c r="KQW47" s="987"/>
      <c r="KQX47" s="987"/>
      <c r="KQY47" s="987"/>
      <c r="KQZ47" s="987"/>
      <c r="KRA47" s="987"/>
      <c r="KRB47" s="987"/>
      <c r="KRC47" s="987"/>
      <c r="KRD47" s="987"/>
      <c r="KRE47" s="987"/>
      <c r="KRF47" s="987"/>
      <c r="KRG47" s="987"/>
      <c r="KRH47" s="987"/>
      <c r="KRI47" s="987"/>
      <c r="KRJ47" s="987"/>
      <c r="KRK47" s="987"/>
      <c r="KRL47" s="987"/>
      <c r="KRM47" s="987"/>
      <c r="KRN47" s="987"/>
      <c r="KRO47" s="987"/>
      <c r="KRP47" s="987"/>
      <c r="KRQ47" s="987"/>
      <c r="KRR47" s="987"/>
      <c r="KRS47" s="987"/>
      <c r="KRT47" s="987"/>
      <c r="KRU47" s="987"/>
      <c r="KRV47" s="987"/>
      <c r="KRW47" s="987"/>
      <c r="KRX47" s="987"/>
      <c r="KRY47" s="987"/>
      <c r="KRZ47" s="987"/>
      <c r="KSA47" s="987"/>
      <c r="KSB47" s="987"/>
      <c r="KSC47" s="987"/>
      <c r="KSD47" s="987"/>
      <c r="KSE47" s="987"/>
      <c r="KSF47" s="987"/>
      <c r="KSG47" s="987"/>
      <c r="KSH47" s="987"/>
      <c r="KSI47" s="987"/>
      <c r="KSJ47" s="987"/>
      <c r="KSK47" s="987"/>
      <c r="KSL47" s="987"/>
      <c r="KSM47" s="987"/>
      <c r="KSN47" s="987"/>
      <c r="KSO47" s="987"/>
      <c r="KSP47" s="987"/>
      <c r="KSQ47" s="987"/>
      <c r="KSR47" s="987"/>
      <c r="KSS47" s="987"/>
      <c r="KST47" s="987"/>
      <c r="KSU47" s="987"/>
      <c r="KSV47" s="987"/>
      <c r="KSW47" s="987"/>
      <c r="KSX47" s="987"/>
      <c r="KSY47" s="987"/>
      <c r="KSZ47" s="987"/>
      <c r="KTA47" s="987"/>
      <c r="KTB47" s="987"/>
      <c r="KTC47" s="987"/>
      <c r="KTD47" s="987"/>
      <c r="KTE47" s="987"/>
      <c r="KTF47" s="987"/>
      <c r="KTG47" s="987"/>
      <c r="KTH47" s="987"/>
      <c r="KTI47" s="987"/>
      <c r="KTJ47" s="987"/>
      <c r="KTK47" s="987"/>
      <c r="KTL47" s="987"/>
      <c r="KTM47" s="987"/>
      <c r="KTN47" s="987"/>
      <c r="KTO47" s="987"/>
      <c r="KTP47" s="987"/>
      <c r="KTQ47" s="987"/>
      <c r="KTR47" s="987"/>
      <c r="KTS47" s="987"/>
      <c r="KTT47" s="987"/>
      <c r="KTU47" s="987"/>
      <c r="KTV47" s="987"/>
      <c r="KTW47" s="987"/>
      <c r="KTX47" s="987"/>
      <c r="KTY47" s="987"/>
      <c r="KTZ47" s="987"/>
      <c r="KUA47" s="987"/>
      <c r="KUB47" s="987"/>
      <c r="KUC47" s="987"/>
      <c r="KUD47" s="987"/>
      <c r="KUE47" s="987"/>
      <c r="KUF47" s="987"/>
      <c r="KUG47" s="987"/>
      <c r="KUH47" s="987"/>
      <c r="KUI47" s="987"/>
      <c r="KUJ47" s="987"/>
      <c r="KUK47" s="987"/>
      <c r="KUL47" s="987"/>
      <c r="KUM47" s="987"/>
      <c r="KUN47" s="987"/>
      <c r="KUO47" s="987"/>
      <c r="KUP47" s="987"/>
      <c r="KUQ47" s="987"/>
      <c r="KUR47" s="987"/>
      <c r="KUS47" s="987"/>
      <c r="KUT47" s="987"/>
      <c r="KUU47" s="987"/>
      <c r="KUV47" s="987"/>
      <c r="KUW47" s="987"/>
      <c r="KUX47" s="987"/>
      <c r="KUY47" s="987"/>
      <c r="KUZ47" s="987"/>
      <c r="KVA47" s="987"/>
      <c r="KVB47" s="987"/>
      <c r="KVC47" s="987"/>
      <c r="KVD47" s="987"/>
      <c r="KVE47" s="987"/>
      <c r="KVF47" s="987"/>
      <c r="KVG47" s="987"/>
      <c r="KVH47" s="987"/>
      <c r="KVI47" s="987"/>
      <c r="KVJ47" s="987"/>
      <c r="KVK47" s="987"/>
      <c r="KVL47" s="987"/>
      <c r="KVM47" s="987"/>
      <c r="KVN47" s="987"/>
      <c r="KVO47" s="987"/>
      <c r="KVP47" s="987"/>
      <c r="KVQ47" s="987"/>
      <c r="KVR47" s="987"/>
      <c r="KVS47" s="987"/>
      <c r="KVT47" s="987"/>
      <c r="KVU47" s="987"/>
      <c r="KVV47" s="987"/>
      <c r="KVW47" s="987"/>
      <c r="KVX47" s="987"/>
      <c r="KVY47" s="987"/>
      <c r="KVZ47" s="987"/>
      <c r="KWA47" s="987"/>
      <c r="KWB47" s="987"/>
      <c r="KWC47" s="987"/>
      <c r="KWD47" s="987"/>
      <c r="KWE47" s="987"/>
      <c r="KWF47" s="987"/>
      <c r="KWG47" s="987"/>
      <c r="KWH47" s="987"/>
      <c r="KWI47" s="987"/>
      <c r="KWJ47" s="987"/>
      <c r="KWK47" s="987"/>
      <c r="KWL47" s="987"/>
      <c r="KWM47" s="987"/>
      <c r="KWN47" s="987"/>
      <c r="KWO47" s="987"/>
      <c r="KWP47" s="987"/>
      <c r="KWQ47" s="987"/>
      <c r="KWR47" s="987"/>
      <c r="KWS47" s="987"/>
      <c r="KWT47" s="987"/>
      <c r="KWU47" s="987"/>
      <c r="KWV47" s="987"/>
      <c r="KWW47" s="987"/>
      <c r="KWX47" s="987"/>
      <c r="KWY47" s="987"/>
      <c r="KWZ47" s="987"/>
      <c r="KXA47" s="987"/>
      <c r="KXB47" s="987"/>
      <c r="KXC47" s="987"/>
      <c r="KXD47" s="987"/>
      <c r="KXE47" s="987"/>
      <c r="KXF47" s="987"/>
      <c r="KXG47" s="987"/>
      <c r="KXH47" s="987"/>
      <c r="KXI47" s="987"/>
      <c r="KXJ47" s="987"/>
      <c r="KXK47" s="987"/>
      <c r="KXL47" s="987"/>
      <c r="KXM47" s="987"/>
      <c r="KXN47" s="987"/>
      <c r="KXO47" s="987"/>
      <c r="KXP47" s="987"/>
      <c r="KXQ47" s="987"/>
      <c r="KXR47" s="987"/>
      <c r="KXS47" s="987"/>
      <c r="KXT47" s="987"/>
      <c r="KXU47" s="987"/>
      <c r="KXV47" s="987"/>
      <c r="KXW47" s="987"/>
      <c r="KXX47" s="987"/>
      <c r="KXY47" s="987"/>
      <c r="KXZ47" s="987"/>
      <c r="KYA47" s="987"/>
      <c r="KYB47" s="987"/>
      <c r="KYC47" s="987"/>
      <c r="KYD47" s="987"/>
      <c r="KYE47" s="987"/>
      <c r="KYF47" s="987"/>
      <c r="KYG47" s="987"/>
      <c r="KYH47" s="987"/>
      <c r="KYI47" s="987"/>
      <c r="KYJ47" s="987"/>
      <c r="KYK47" s="987"/>
      <c r="KYL47" s="987"/>
      <c r="KYM47" s="987"/>
      <c r="KYN47" s="987"/>
      <c r="KYO47" s="987"/>
      <c r="KYP47" s="987"/>
      <c r="KYQ47" s="987"/>
      <c r="KYR47" s="987"/>
      <c r="KYS47" s="987"/>
      <c r="KYT47" s="987"/>
      <c r="KYU47" s="987"/>
      <c r="KYV47" s="987"/>
      <c r="KYW47" s="987"/>
      <c r="KYX47" s="987"/>
      <c r="KYY47" s="987"/>
      <c r="KYZ47" s="987"/>
      <c r="KZA47" s="987"/>
      <c r="KZB47" s="987"/>
      <c r="KZC47" s="987"/>
      <c r="KZD47" s="987"/>
      <c r="KZE47" s="987"/>
      <c r="KZF47" s="987"/>
      <c r="KZG47" s="987"/>
      <c r="KZH47" s="987"/>
      <c r="KZI47" s="987"/>
      <c r="KZJ47" s="987"/>
      <c r="KZK47" s="987"/>
      <c r="KZL47" s="987"/>
      <c r="KZM47" s="987"/>
      <c r="KZN47" s="987"/>
      <c r="KZO47" s="987"/>
      <c r="KZP47" s="987"/>
      <c r="KZQ47" s="987"/>
      <c r="KZR47" s="987"/>
      <c r="KZS47" s="987"/>
      <c r="KZT47" s="987"/>
      <c r="KZU47" s="987"/>
      <c r="KZV47" s="987"/>
      <c r="KZW47" s="987"/>
      <c r="KZX47" s="987"/>
      <c r="KZY47" s="987"/>
      <c r="KZZ47" s="987"/>
      <c r="LAA47" s="987"/>
      <c r="LAB47" s="987"/>
      <c r="LAC47" s="987"/>
      <c r="LAD47" s="987"/>
      <c r="LAE47" s="987"/>
      <c r="LAF47" s="987"/>
      <c r="LAG47" s="987"/>
      <c r="LAH47" s="987"/>
      <c r="LAI47" s="987"/>
      <c r="LAJ47" s="987"/>
      <c r="LAK47" s="987"/>
      <c r="LAL47" s="987"/>
      <c r="LAM47" s="987"/>
      <c r="LAN47" s="987"/>
      <c r="LAO47" s="987"/>
      <c r="LAP47" s="987"/>
      <c r="LAQ47" s="987"/>
      <c r="LAR47" s="987"/>
      <c r="LAS47" s="987"/>
      <c r="LAT47" s="987"/>
      <c r="LAU47" s="987"/>
      <c r="LAV47" s="987"/>
      <c r="LAW47" s="987"/>
      <c r="LAX47" s="987"/>
      <c r="LAY47" s="987"/>
      <c r="LAZ47" s="987"/>
      <c r="LBA47" s="987"/>
      <c r="LBB47" s="987"/>
      <c r="LBC47" s="987"/>
      <c r="LBD47" s="987"/>
      <c r="LBE47" s="987"/>
      <c r="LBF47" s="987"/>
      <c r="LBG47" s="987"/>
      <c r="LBH47" s="987"/>
      <c r="LBI47" s="987"/>
      <c r="LBJ47" s="987"/>
      <c r="LBK47" s="987"/>
      <c r="LBL47" s="987"/>
      <c r="LBM47" s="987"/>
      <c r="LBN47" s="987"/>
      <c r="LBO47" s="987"/>
      <c r="LBP47" s="987"/>
      <c r="LBQ47" s="987"/>
      <c r="LBR47" s="987"/>
      <c r="LBS47" s="987"/>
      <c r="LBT47" s="987"/>
      <c r="LBU47" s="987"/>
      <c r="LBV47" s="987"/>
      <c r="LBW47" s="987"/>
      <c r="LBX47" s="987"/>
      <c r="LBY47" s="987"/>
      <c r="LBZ47" s="987"/>
      <c r="LCA47" s="987"/>
      <c r="LCB47" s="987"/>
      <c r="LCC47" s="987"/>
      <c r="LCD47" s="987"/>
      <c r="LCE47" s="987"/>
      <c r="LCF47" s="987"/>
      <c r="LCG47" s="987"/>
      <c r="LCH47" s="987"/>
      <c r="LCI47" s="987"/>
      <c r="LCJ47" s="987"/>
      <c r="LCK47" s="987"/>
      <c r="LCL47" s="987"/>
      <c r="LCM47" s="987"/>
      <c r="LCN47" s="987"/>
      <c r="LCO47" s="987"/>
      <c r="LCP47" s="987"/>
      <c r="LCQ47" s="987"/>
      <c r="LCR47" s="987"/>
      <c r="LCS47" s="987"/>
      <c r="LCT47" s="987"/>
      <c r="LCU47" s="987"/>
      <c r="LCV47" s="987"/>
      <c r="LCW47" s="987"/>
      <c r="LCX47" s="987"/>
      <c r="LCY47" s="987"/>
      <c r="LCZ47" s="987"/>
      <c r="LDA47" s="987"/>
      <c r="LDB47" s="987"/>
      <c r="LDC47" s="987"/>
      <c r="LDD47" s="987"/>
      <c r="LDE47" s="987"/>
      <c r="LDF47" s="987"/>
      <c r="LDG47" s="987"/>
      <c r="LDH47" s="987"/>
      <c r="LDI47" s="987"/>
      <c r="LDJ47" s="987"/>
      <c r="LDK47" s="987"/>
      <c r="LDL47" s="987"/>
      <c r="LDM47" s="987"/>
      <c r="LDN47" s="987"/>
      <c r="LDO47" s="987"/>
      <c r="LDP47" s="987"/>
      <c r="LDQ47" s="987"/>
      <c r="LDR47" s="987"/>
      <c r="LDS47" s="987"/>
      <c r="LDT47" s="987"/>
      <c r="LDU47" s="987"/>
      <c r="LDV47" s="987"/>
      <c r="LDW47" s="987"/>
      <c r="LDX47" s="987"/>
      <c r="LDY47" s="987"/>
      <c r="LDZ47" s="987"/>
      <c r="LEA47" s="987"/>
      <c r="LEB47" s="987"/>
      <c r="LEC47" s="987"/>
      <c r="LED47" s="987"/>
      <c r="LEE47" s="987"/>
      <c r="LEF47" s="987"/>
      <c r="LEG47" s="987"/>
      <c r="LEH47" s="987"/>
      <c r="LEI47" s="987"/>
      <c r="LEJ47" s="987"/>
      <c r="LEK47" s="987"/>
      <c r="LEL47" s="987"/>
      <c r="LEM47" s="987"/>
      <c r="LEN47" s="987"/>
      <c r="LEO47" s="987"/>
      <c r="LEP47" s="987"/>
      <c r="LEQ47" s="987"/>
      <c r="LER47" s="987"/>
      <c r="LES47" s="987"/>
      <c r="LET47" s="987"/>
      <c r="LEU47" s="987"/>
      <c r="LEV47" s="987"/>
      <c r="LEW47" s="987"/>
      <c r="LEX47" s="987"/>
      <c r="LEY47" s="987"/>
      <c r="LEZ47" s="987"/>
      <c r="LFA47" s="987"/>
      <c r="LFB47" s="987"/>
      <c r="LFC47" s="987"/>
      <c r="LFD47" s="987"/>
      <c r="LFE47" s="987"/>
      <c r="LFF47" s="987"/>
      <c r="LFG47" s="987"/>
      <c r="LFH47" s="987"/>
      <c r="LFI47" s="987"/>
      <c r="LFJ47" s="987"/>
      <c r="LFK47" s="987"/>
      <c r="LFL47" s="987"/>
      <c r="LFM47" s="987"/>
      <c r="LFN47" s="987"/>
      <c r="LFO47" s="987"/>
      <c r="LFP47" s="987"/>
      <c r="LFQ47" s="987"/>
      <c r="LFR47" s="987"/>
      <c r="LFS47" s="987"/>
      <c r="LFT47" s="987"/>
      <c r="LFU47" s="987"/>
      <c r="LFV47" s="987"/>
      <c r="LFW47" s="987"/>
      <c r="LFX47" s="987"/>
      <c r="LFY47" s="987"/>
      <c r="LFZ47" s="987"/>
      <c r="LGA47" s="987"/>
      <c r="LGB47" s="987"/>
      <c r="LGC47" s="987"/>
      <c r="LGD47" s="987"/>
      <c r="LGE47" s="987"/>
      <c r="LGF47" s="987"/>
      <c r="LGG47" s="987"/>
      <c r="LGH47" s="987"/>
      <c r="LGI47" s="987"/>
      <c r="LGJ47" s="987"/>
      <c r="LGK47" s="987"/>
      <c r="LGL47" s="987"/>
      <c r="LGM47" s="987"/>
      <c r="LGN47" s="987"/>
      <c r="LGO47" s="987"/>
      <c r="LGP47" s="987"/>
      <c r="LGQ47" s="987"/>
      <c r="LGR47" s="987"/>
      <c r="LGS47" s="987"/>
      <c r="LGT47" s="987"/>
      <c r="LGU47" s="987"/>
      <c r="LGV47" s="987"/>
      <c r="LGW47" s="987"/>
      <c r="LGX47" s="987"/>
      <c r="LGY47" s="987"/>
      <c r="LGZ47" s="987"/>
      <c r="LHA47" s="987"/>
      <c r="LHB47" s="987"/>
      <c r="LHC47" s="987"/>
      <c r="LHD47" s="987"/>
      <c r="LHE47" s="987"/>
      <c r="LHF47" s="987"/>
      <c r="LHG47" s="987"/>
      <c r="LHH47" s="987"/>
      <c r="LHI47" s="987"/>
      <c r="LHJ47" s="987"/>
      <c r="LHK47" s="987"/>
      <c r="LHL47" s="987"/>
      <c r="LHM47" s="987"/>
      <c r="LHN47" s="987"/>
      <c r="LHO47" s="987"/>
      <c r="LHP47" s="987"/>
      <c r="LHQ47" s="987"/>
      <c r="LHR47" s="987"/>
      <c r="LHS47" s="987"/>
      <c r="LHT47" s="987"/>
      <c r="LHU47" s="987"/>
      <c r="LHV47" s="987"/>
      <c r="LHW47" s="987"/>
      <c r="LHX47" s="987"/>
      <c r="LHY47" s="987"/>
      <c r="LHZ47" s="987"/>
      <c r="LIA47" s="987"/>
      <c r="LIB47" s="987"/>
      <c r="LIC47" s="987"/>
      <c r="LID47" s="987"/>
      <c r="LIE47" s="987"/>
      <c r="LIF47" s="987"/>
      <c r="LIG47" s="987"/>
      <c r="LIH47" s="987"/>
      <c r="LII47" s="987"/>
      <c r="LIJ47" s="987"/>
      <c r="LIK47" s="987"/>
      <c r="LIL47" s="987"/>
      <c r="LIM47" s="987"/>
      <c r="LIN47" s="987"/>
      <c r="LIO47" s="987"/>
      <c r="LIP47" s="987"/>
      <c r="LIQ47" s="987"/>
      <c r="LIR47" s="987"/>
      <c r="LIS47" s="987"/>
      <c r="LIT47" s="987"/>
      <c r="LIU47" s="987"/>
      <c r="LIV47" s="987"/>
      <c r="LIW47" s="987"/>
      <c r="LIX47" s="987"/>
      <c r="LIY47" s="987"/>
      <c r="LIZ47" s="987"/>
      <c r="LJA47" s="987"/>
      <c r="LJB47" s="987"/>
      <c r="LJC47" s="987"/>
      <c r="LJD47" s="987"/>
      <c r="LJE47" s="987"/>
      <c r="LJF47" s="987"/>
      <c r="LJG47" s="987"/>
      <c r="LJH47" s="987"/>
      <c r="LJI47" s="987"/>
      <c r="LJJ47" s="987"/>
      <c r="LJK47" s="987"/>
      <c r="LJL47" s="987"/>
      <c r="LJM47" s="987"/>
      <c r="LJN47" s="987"/>
      <c r="LJO47" s="987"/>
      <c r="LJP47" s="987"/>
      <c r="LJQ47" s="987"/>
      <c r="LJR47" s="987"/>
      <c r="LJS47" s="987"/>
      <c r="LJT47" s="987"/>
      <c r="LJU47" s="987"/>
      <c r="LJV47" s="987"/>
      <c r="LJW47" s="987"/>
      <c r="LJX47" s="987"/>
      <c r="LJY47" s="987"/>
      <c r="LJZ47" s="987"/>
      <c r="LKA47" s="987"/>
      <c r="LKB47" s="987"/>
      <c r="LKC47" s="987"/>
      <c r="LKD47" s="987"/>
      <c r="LKE47" s="987"/>
      <c r="LKF47" s="987"/>
      <c r="LKG47" s="987"/>
      <c r="LKH47" s="987"/>
      <c r="LKI47" s="987"/>
      <c r="LKJ47" s="987"/>
      <c r="LKK47" s="987"/>
      <c r="LKL47" s="987"/>
      <c r="LKM47" s="987"/>
      <c r="LKN47" s="987"/>
      <c r="LKO47" s="987"/>
      <c r="LKP47" s="987"/>
      <c r="LKQ47" s="987"/>
      <c r="LKR47" s="987"/>
      <c r="LKS47" s="987"/>
      <c r="LKT47" s="987"/>
      <c r="LKU47" s="987"/>
      <c r="LKV47" s="987"/>
      <c r="LKW47" s="987"/>
      <c r="LKX47" s="987"/>
      <c r="LKY47" s="987"/>
      <c r="LKZ47" s="987"/>
      <c r="LLA47" s="987"/>
      <c r="LLB47" s="987"/>
      <c r="LLC47" s="987"/>
      <c r="LLD47" s="987"/>
      <c r="LLE47" s="987"/>
      <c r="LLF47" s="987"/>
      <c r="LLG47" s="987"/>
      <c r="LLH47" s="987"/>
      <c r="LLI47" s="987"/>
      <c r="LLJ47" s="987"/>
      <c r="LLK47" s="987"/>
      <c r="LLL47" s="987"/>
      <c r="LLM47" s="987"/>
      <c r="LLN47" s="987"/>
      <c r="LLO47" s="987"/>
      <c r="LLP47" s="987"/>
      <c r="LLQ47" s="987"/>
      <c r="LLR47" s="987"/>
      <c r="LLS47" s="987"/>
      <c r="LLT47" s="987"/>
      <c r="LLU47" s="987"/>
      <c r="LLV47" s="987"/>
      <c r="LLW47" s="987"/>
      <c r="LLX47" s="987"/>
      <c r="LLY47" s="987"/>
      <c r="LLZ47" s="987"/>
      <c r="LMA47" s="987"/>
      <c r="LMB47" s="987"/>
      <c r="LMC47" s="987"/>
      <c r="LMD47" s="987"/>
      <c r="LME47" s="987"/>
      <c r="LMF47" s="987"/>
      <c r="LMG47" s="987"/>
      <c r="LMH47" s="987"/>
      <c r="LMI47" s="987"/>
      <c r="LMJ47" s="987"/>
      <c r="LMK47" s="987"/>
      <c r="LML47" s="987"/>
      <c r="LMM47" s="987"/>
      <c r="LMN47" s="987"/>
      <c r="LMO47" s="987"/>
      <c r="LMP47" s="987"/>
      <c r="LMQ47" s="987"/>
      <c r="LMR47" s="987"/>
      <c r="LMS47" s="987"/>
      <c r="LMT47" s="987"/>
      <c r="LMU47" s="987"/>
      <c r="LMV47" s="987"/>
      <c r="LMW47" s="987"/>
      <c r="LMX47" s="987"/>
      <c r="LMY47" s="987"/>
      <c r="LMZ47" s="987"/>
      <c r="LNA47" s="987"/>
      <c r="LNB47" s="987"/>
      <c r="LNC47" s="987"/>
      <c r="LND47" s="987"/>
      <c r="LNE47" s="987"/>
      <c r="LNF47" s="987"/>
      <c r="LNG47" s="987"/>
      <c r="LNH47" s="987"/>
      <c r="LNI47" s="987"/>
      <c r="LNJ47" s="987"/>
      <c r="LNK47" s="987"/>
      <c r="LNL47" s="987"/>
      <c r="LNM47" s="987"/>
      <c r="LNN47" s="987"/>
      <c r="LNO47" s="987"/>
      <c r="LNP47" s="987"/>
      <c r="LNQ47" s="987"/>
      <c r="LNR47" s="987"/>
      <c r="LNS47" s="987"/>
      <c r="LNT47" s="987"/>
      <c r="LNU47" s="987"/>
      <c r="LNV47" s="987"/>
      <c r="LNW47" s="987"/>
      <c r="LNX47" s="987"/>
      <c r="LNY47" s="987"/>
      <c r="LNZ47" s="987"/>
      <c r="LOA47" s="987"/>
      <c r="LOB47" s="987"/>
      <c r="LOC47" s="987"/>
      <c r="LOD47" s="987"/>
      <c r="LOE47" s="987"/>
      <c r="LOF47" s="987"/>
      <c r="LOG47" s="987"/>
      <c r="LOH47" s="987"/>
      <c r="LOI47" s="987"/>
      <c r="LOJ47" s="987"/>
      <c r="LOK47" s="987"/>
      <c r="LOL47" s="987"/>
      <c r="LOM47" s="987"/>
      <c r="LON47" s="987"/>
      <c r="LOO47" s="987"/>
      <c r="LOP47" s="987"/>
      <c r="LOQ47" s="987"/>
      <c r="LOR47" s="987"/>
      <c r="LOS47" s="987"/>
      <c r="LOT47" s="987"/>
      <c r="LOU47" s="987"/>
      <c r="LOV47" s="987"/>
      <c r="LOW47" s="987"/>
      <c r="LOX47" s="987"/>
      <c r="LOY47" s="987"/>
      <c r="LOZ47" s="987"/>
      <c r="LPA47" s="987"/>
      <c r="LPB47" s="987"/>
      <c r="LPC47" s="987"/>
      <c r="LPD47" s="987"/>
      <c r="LPE47" s="987"/>
      <c r="LPF47" s="987"/>
      <c r="LPG47" s="987"/>
      <c r="LPH47" s="987"/>
      <c r="LPI47" s="987"/>
      <c r="LPJ47" s="987"/>
      <c r="LPK47" s="987"/>
      <c r="LPL47" s="987"/>
      <c r="LPM47" s="987"/>
      <c r="LPN47" s="987"/>
      <c r="LPO47" s="987"/>
      <c r="LPP47" s="987"/>
      <c r="LPQ47" s="987"/>
      <c r="LPR47" s="987"/>
      <c r="LPS47" s="987"/>
      <c r="LPT47" s="987"/>
      <c r="LPU47" s="987"/>
      <c r="LPV47" s="987"/>
      <c r="LPW47" s="987"/>
      <c r="LPX47" s="987"/>
      <c r="LPY47" s="987"/>
      <c r="LPZ47" s="987"/>
      <c r="LQA47" s="987"/>
      <c r="LQB47" s="987"/>
      <c r="LQC47" s="987"/>
      <c r="LQD47" s="987"/>
      <c r="LQE47" s="987"/>
      <c r="LQF47" s="987"/>
      <c r="LQG47" s="987"/>
      <c r="LQH47" s="987"/>
      <c r="LQI47" s="987"/>
      <c r="LQJ47" s="987"/>
      <c r="LQK47" s="987"/>
      <c r="LQL47" s="987"/>
      <c r="LQM47" s="987"/>
      <c r="LQN47" s="987"/>
      <c r="LQO47" s="987"/>
      <c r="LQP47" s="987"/>
      <c r="LQQ47" s="987"/>
      <c r="LQR47" s="987"/>
      <c r="LQS47" s="987"/>
      <c r="LQT47" s="987"/>
      <c r="LQU47" s="987"/>
      <c r="LQV47" s="987"/>
      <c r="LQW47" s="987"/>
      <c r="LQX47" s="987"/>
      <c r="LQY47" s="987"/>
      <c r="LQZ47" s="987"/>
      <c r="LRA47" s="987"/>
      <c r="LRB47" s="987"/>
      <c r="LRC47" s="987"/>
      <c r="LRD47" s="987"/>
      <c r="LRE47" s="987"/>
      <c r="LRF47" s="987"/>
      <c r="LRG47" s="987"/>
      <c r="LRH47" s="987"/>
      <c r="LRI47" s="987"/>
      <c r="LRJ47" s="987"/>
      <c r="LRK47" s="987"/>
      <c r="LRL47" s="987"/>
      <c r="LRM47" s="987"/>
      <c r="LRN47" s="987"/>
      <c r="LRO47" s="987"/>
      <c r="LRP47" s="987"/>
      <c r="LRQ47" s="987"/>
      <c r="LRR47" s="987"/>
      <c r="LRS47" s="987"/>
      <c r="LRT47" s="987"/>
      <c r="LRU47" s="987"/>
      <c r="LRV47" s="987"/>
      <c r="LRW47" s="987"/>
      <c r="LRX47" s="987"/>
      <c r="LRY47" s="987"/>
      <c r="LRZ47" s="987"/>
      <c r="LSA47" s="987"/>
      <c r="LSB47" s="987"/>
      <c r="LSC47" s="987"/>
      <c r="LSD47" s="987"/>
      <c r="LSE47" s="987"/>
      <c r="LSF47" s="987"/>
      <c r="LSG47" s="987"/>
      <c r="LSH47" s="987"/>
      <c r="LSI47" s="987"/>
      <c r="LSJ47" s="987"/>
      <c r="LSK47" s="987"/>
      <c r="LSL47" s="987"/>
      <c r="LSM47" s="987"/>
      <c r="LSN47" s="987"/>
      <c r="LSO47" s="987"/>
      <c r="LSP47" s="987"/>
      <c r="LSQ47" s="987"/>
      <c r="LSR47" s="987"/>
      <c r="LSS47" s="987"/>
      <c r="LST47" s="987"/>
      <c r="LSU47" s="987"/>
      <c r="LSV47" s="987"/>
      <c r="LSW47" s="987"/>
      <c r="LSX47" s="987"/>
      <c r="LSY47" s="987"/>
      <c r="LSZ47" s="987"/>
      <c r="LTA47" s="987"/>
      <c r="LTB47" s="987"/>
      <c r="LTC47" s="987"/>
      <c r="LTD47" s="987"/>
      <c r="LTE47" s="987"/>
      <c r="LTF47" s="987"/>
      <c r="LTG47" s="987"/>
      <c r="LTH47" s="987"/>
      <c r="LTI47" s="987"/>
      <c r="LTJ47" s="987"/>
      <c r="LTK47" s="987"/>
      <c r="LTL47" s="987"/>
      <c r="LTM47" s="987"/>
      <c r="LTN47" s="987"/>
      <c r="LTO47" s="987"/>
      <c r="LTP47" s="987"/>
      <c r="LTQ47" s="987"/>
      <c r="LTR47" s="987"/>
      <c r="LTS47" s="987"/>
      <c r="LTT47" s="987"/>
      <c r="LTU47" s="987"/>
      <c r="LTV47" s="987"/>
      <c r="LTW47" s="987"/>
      <c r="LTX47" s="987"/>
      <c r="LTY47" s="987"/>
      <c r="LTZ47" s="987"/>
      <c r="LUA47" s="987"/>
      <c r="LUB47" s="987"/>
      <c r="LUC47" s="987"/>
      <c r="LUD47" s="987"/>
      <c r="LUE47" s="987"/>
      <c r="LUF47" s="987"/>
      <c r="LUG47" s="987"/>
      <c r="LUH47" s="987"/>
      <c r="LUI47" s="987"/>
      <c r="LUJ47" s="987"/>
      <c r="LUK47" s="987"/>
      <c r="LUL47" s="987"/>
      <c r="LUM47" s="987"/>
      <c r="LUN47" s="987"/>
      <c r="LUO47" s="987"/>
      <c r="LUP47" s="987"/>
      <c r="LUQ47" s="987"/>
      <c r="LUR47" s="987"/>
      <c r="LUS47" s="987"/>
      <c r="LUT47" s="987"/>
      <c r="LUU47" s="987"/>
      <c r="LUV47" s="987"/>
      <c r="LUW47" s="987"/>
      <c r="LUX47" s="987"/>
      <c r="LUY47" s="987"/>
      <c r="LUZ47" s="987"/>
      <c r="LVA47" s="987"/>
      <c r="LVB47" s="987"/>
      <c r="LVC47" s="987"/>
      <c r="LVD47" s="987"/>
      <c r="LVE47" s="987"/>
      <c r="LVF47" s="987"/>
      <c r="LVG47" s="987"/>
      <c r="LVH47" s="987"/>
      <c r="LVI47" s="987"/>
      <c r="LVJ47" s="987"/>
      <c r="LVK47" s="987"/>
      <c r="LVL47" s="987"/>
      <c r="LVM47" s="987"/>
      <c r="LVN47" s="987"/>
      <c r="LVO47" s="987"/>
      <c r="LVP47" s="987"/>
      <c r="LVQ47" s="987"/>
      <c r="LVR47" s="987"/>
      <c r="LVS47" s="987"/>
      <c r="LVT47" s="987"/>
      <c r="LVU47" s="987"/>
      <c r="LVV47" s="987"/>
      <c r="LVW47" s="987"/>
      <c r="LVX47" s="987"/>
      <c r="LVY47" s="987"/>
      <c r="LVZ47" s="987"/>
      <c r="LWA47" s="987"/>
      <c r="LWB47" s="987"/>
      <c r="LWC47" s="987"/>
      <c r="LWD47" s="987"/>
      <c r="LWE47" s="987"/>
      <c r="LWF47" s="987"/>
      <c r="LWG47" s="987"/>
      <c r="LWH47" s="987"/>
      <c r="LWI47" s="987"/>
      <c r="LWJ47" s="987"/>
      <c r="LWK47" s="987"/>
      <c r="LWL47" s="987"/>
      <c r="LWM47" s="987"/>
      <c r="LWN47" s="987"/>
      <c r="LWO47" s="987"/>
      <c r="LWP47" s="987"/>
      <c r="LWQ47" s="987"/>
      <c r="LWR47" s="987"/>
      <c r="LWS47" s="987"/>
      <c r="LWT47" s="987"/>
      <c r="LWU47" s="987"/>
      <c r="LWV47" s="987"/>
      <c r="LWW47" s="987"/>
      <c r="LWX47" s="987"/>
      <c r="LWY47" s="987"/>
      <c r="LWZ47" s="987"/>
      <c r="LXA47" s="987"/>
      <c r="LXB47" s="987"/>
      <c r="LXC47" s="987"/>
      <c r="LXD47" s="987"/>
      <c r="LXE47" s="987"/>
      <c r="LXF47" s="987"/>
      <c r="LXG47" s="987"/>
      <c r="LXH47" s="987"/>
      <c r="LXI47" s="987"/>
      <c r="LXJ47" s="987"/>
      <c r="LXK47" s="987"/>
      <c r="LXL47" s="987"/>
      <c r="LXM47" s="987"/>
      <c r="LXN47" s="987"/>
      <c r="LXO47" s="987"/>
      <c r="LXP47" s="987"/>
      <c r="LXQ47" s="987"/>
      <c r="LXR47" s="987"/>
      <c r="LXS47" s="987"/>
      <c r="LXT47" s="987"/>
      <c r="LXU47" s="987"/>
      <c r="LXV47" s="987"/>
      <c r="LXW47" s="987"/>
      <c r="LXX47" s="987"/>
      <c r="LXY47" s="987"/>
      <c r="LXZ47" s="987"/>
      <c r="LYA47" s="987"/>
      <c r="LYB47" s="987"/>
      <c r="LYC47" s="987"/>
      <c r="LYD47" s="987"/>
      <c r="LYE47" s="987"/>
      <c r="LYF47" s="987"/>
      <c r="LYG47" s="987"/>
      <c r="LYH47" s="987"/>
      <c r="LYI47" s="987"/>
      <c r="LYJ47" s="987"/>
      <c r="LYK47" s="987"/>
      <c r="LYL47" s="987"/>
      <c r="LYM47" s="987"/>
      <c r="LYN47" s="987"/>
      <c r="LYO47" s="987"/>
      <c r="LYP47" s="987"/>
      <c r="LYQ47" s="987"/>
      <c r="LYR47" s="987"/>
      <c r="LYS47" s="987"/>
      <c r="LYT47" s="987"/>
      <c r="LYU47" s="987"/>
      <c r="LYV47" s="987"/>
      <c r="LYW47" s="987"/>
      <c r="LYX47" s="987"/>
      <c r="LYY47" s="987"/>
      <c r="LYZ47" s="987"/>
      <c r="LZA47" s="987"/>
      <c r="LZB47" s="987"/>
      <c r="LZC47" s="987"/>
      <c r="LZD47" s="987"/>
      <c r="LZE47" s="987"/>
      <c r="LZF47" s="987"/>
      <c r="LZG47" s="987"/>
      <c r="LZH47" s="987"/>
      <c r="LZI47" s="987"/>
      <c r="LZJ47" s="987"/>
      <c r="LZK47" s="987"/>
      <c r="LZL47" s="987"/>
      <c r="LZM47" s="987"/>
      <c r="LZN47" s="987"/>
      <c r="LZO47" s="987"/>
      <c r="LZP47" s="987"/>
      <c r="LZQ47" s="987"/>
      <c r="LZR47" s="987"/>
      <c r="LZS47" s="987"/>
      <c r="LZT47" s="987"/>
      <c r="LZU47" s="987"/>
      <c r="LZV47" s="987"/>
      <c r="LZW47" s="987"/>
      <c r="LZX47" s="987"/>
      <c r="LZY47" s="987"/>
      <c r="LZZ47" s="987"/>
      <c r="MAA47" s="987"/>
      <c r="MAB47" s="987"/>
      <c r="MAC47" s="987"/>
      <c r="MAD47" s="987"/>
      <c r="MAE47" s="987"/>
      <c r="MAF47" s="987"/>
      <c r="MAG47" s="987"/>
      <c r="MAH47" s="987"/>
      <c r="MAI47" s="987"/>
      <c r="MAJ47" s="987"/>
      <c r="MAK47" s="987"/>
      <c r="MAL47" s="987"/>
      <c r="MAM47" s="987"/>
      <c r="MAN47" s="987"/>
      <c r="MAO47" s="987"/>
      <c r="MAP47" s="987"/>
      <c r="MAQ47" s="987"/>
      <c r="MAR47" s="987"/>
      <c r="MAS47" s="987"/>
      <c r="MAT47" s="987"/>
      <c r="MAU47" s="987"/>
      <c r="MAV47" s="987"/>
      <c r="MAW47" s="987"/>
      <c r="MAX47" s="987"/>
      <c r="MAY47" s="987"/>
      <c r="MAZ47" s="987"/>
      <c r="MBA47" s="987"/>
      <c r="MBB47" s="987"/>
      <c r="MBC47" s="987"/>
      <c r="MBD47" s="987"/>
      <c r="MBE47" s="987"/>
      <c r="MBF47" s="987"/>
      <c r="MBG47" s="987"/>
      <c r="MBH47" s="987"/>
      <c r="MBI47" s="987"/>
      <c r="MBJ47" s="987"/>
      <c r="MBK47" s="987"/>
      <c r="MBL47" s="987"/>
      <c r="MBM47" s="987"/>
      <c r="MBN47" s="987"/>
      <c r="MBO47" s="987"/>
      <c r="MBP47" s="987"/>
      <c r="MBQ47" s="987"/>
      <c r="MBR47" s="987"/>
      <c r="MBS47" s="987"/>
      <c r="MBT47" s="987"/>
      <c r="MBU47" s="987"/>
      <c r="MBV47" s="987"/>
      <c r="MBW47" s="987"/>
      <c r="MBX47" s="987"/>
      <c r="MBY47" s="987"/>
      <c r="MBZ47" s="987"/>
      <c r="MCA47" s="987"/>
      <c r="MCB47" s="987"/>
      <c r="MCC47" s="987"/>
      <c r="MCD47" s="987"/>
      <c r="MCE47" s="987"/>
      <c r="MCF47" s="987"/>
      <c r="MCG47" s="987"/>
      <c r="MCH47" s="987"/>
      <c r="MCI47" s="987"/>
      <c r="MCJ47" s="987"/>
      <c r="MCK47" s="987"/>
      <c r="MCL47" s="987"/>
      <c r="MCM47" s="987"/>
      <c r="MCN47" s="987"/>
      <c r="MCO47" s="987"/>
      <c r="MCP47" s="987"/>
      <c r="MCQ47" s="987"/>
      <c r="MCR47" s="987"/>
      <c r="MCS47" s="987"/>
      <c r="MCT47" s="987"/>
      <c r="MCU47" s="987"/>
      <c r="MCV47" s="987"/>
      <c r="MCW47" s="987"/>
      <c r="MCX47" s="987"/>
      <c r="MCY47" s="987"/>
      <c r="MCZ47" s="987"/>
      <c r="MDA47" s="987"/>
      <c r="MDB47" s="987"/>
      <c r="MDC47" s="987"/>
      <c r="MDD47" s="987"/>
      <c r="MDE47" s="987"/>
      <c r="MDF47" s="987"/>
      <c r="MDG47" s="987"/>
      <c r="MDH47" s="987"/>
      <c r="MDI47" s="987"/>
      <c r="MDJ47" s="987"/>
      <c r="MDK47" s="987"/>
      <c r="MDL47" s="987"/>
      <c r="MDM47" s="987"/>
      <c r="MDN47" s="987"/>
      <c r="MDO47" s="987"/>
      <c r="MDP47" s="987"/>
      <c r="MDQ47" s="987"/>
      <c r="MDR47" s="987"/>
      <c r="MDS47" s="987"/>
      <c r="MDT47" s="987"/>
      <c r="MDU47" s="987"/>
      <c r="MDV47" s="987"/>
      <c r="MDW47" s="987"/>
      <c r="MDX47" s="987"/>
      <c r="MDY47" s="987"/>
      <c r="MDZ47" s="987"/>
      <c r="MEA47" s="987"/>
      <c r="MEB47" s="987"/>
      <c r="MEC47" s="987"/>
      <c r="MED47" s="987"/>
      <c r="MEE47" s="987"/>
      <c r="MEF47" s="987"/>
      <c r="MEG47" s="987"/>
      <c r="MEH47" s="987"/>
      <c r="MEI47" s="987"/>
      <c r="MEJ47" s="987"/>
      <c r="MEK47" s="987"/>
      <c r="MEL47" s="987"/>
      <c r="MEM47" s="987"/>
      <c r="MEN47" s="987"/>
      <c r="MEO47" s="987"/>
      <c r="MEP47" s="987"/>
      <c r="MEQ47" s="987"/>
      <c r="MER47" s="987"/>
      <c r="MES47" s="987"/>
      <c r="MET47" s="987"/>
      <c r="MEU47" s="987"/>
      <c r="MEV47" s="987"/>
      <c r="MEW47" s="987"/>
      <c r="MEX47" s="987"/>
      <c r="MEY47" s="987"/>
      <c r="MEZ47" s="987"/>
      <c r="MFA47" s="987"/>
      <c r="MFB47" s="987"/>
      <c r="MFC47" s="987"/>
      <c r="MFD47" s="987"/>
      <c r="MFE47" s="987"/>
      <c r="MFF47" s="987"/>
      <c r="MFG47" s="987"/>
      <c r="MFH47" s="987"/>
      <c r="MFI47" s="987"/>
      <c r="MFJ47" s="987"/>
      <c r="MFK47" s="987"/>
      <c r="MFL47" s="987"/>
      <c r="MFM47" s="987"/>
      <c r="MFN47" s="987"/>
      <c r="MFO47" s="987"/>
      <c r="MFP47" s="987"/>
      <c r="MFQ47" s="987"/>
      <c r="MFR47" s="987"/>
      <c r="MFS47" s="987"/>
      <c r="MFT47" s="987"/>
      <c r="MFU47" s="987"/>
      <c r="MFV47" s="987"/>
      <c r="MFW47" s="987"/>
      <c r="MFX47" s="987"/>
      <c r="MFY47" s="987"/>
      <c r="MFZ47" s="987"/>
      <c r="MGA47" s="987"/>
      <c r="MGB47" s="987"/>
      <c r="MGC47" s="987"/>
      <c r="MGD47" s="987"/>
      <c r="MGE47" s="987"/>
      <c r="MGF47" s="987"/>
      <c r="MGG47" s="987"/>
      <c r="MGH47" s="987"/>
      <c r="MGI47" s="987"/>
      <c r="MGJ47" s="987"/>
      <c r="MGK47" s="987"/>
      <c r="MGL47" s="987"/>
      <c r="MGM47" s="987"/>
      <c r="MGN47" s="987"/>
      <c r="MGO47" s="987"/>
      <c r="MGP47" s="987"/>
      <c r="MGQ47" s="987"/>
      <c r="MGR47" s="987"/>
      <c r="MGS47" s="987"/>
      <c r="MGT47" s="987"/>
      <c r="MGU47" s="987"/>
      <c r="MGV47" s="987"/>
      <c r="MGW47" s="987"/>
      <c r="MGX47" s="987"/>
      <c r="MGY47" s="987"/>
      <c r="MGZ47" s="987"/>
      <c r="MHA47" s="987"/>
      <c r="MHB47" s="987"/>
      <c r="MHC47" s="987"/>
      <c r="MHD47" s="987"/>
      <c r="MHE47" s="987"/>
      <c r="MHF47" s="987"/>
      <c r="MHG47" s="987"/>
      <c r="MHH47" s="987"/>
      <c r="MHI47" s="987"/>
      <c r="MHJ47" s="987"/>
      <c r="MHK47" s="987"/>
      <c r="MHL47" s="987"/>
      <c r="MHM47" s="987"/>
      <c r="MHN47" s="987"/>
      <c r="MHO47" s="987"/>
      <c r="MHP47" s="987"/>
      <c r="MHQ47" s="987"/>
      <c r="MHR47" s="987"/>
      <c r="MHS47" s="987"/>
      <c r="MHT47" s="987"/>
      <c r="MHU47" s="987"/>
      <c r="MHV47" s="987"/>
      <c r="MHW47" s="987"/>
      <c r="MHX47" s="987"/>
      <c r="MHY47" s="987"/>
      <c r="MHZ47" s="987"/>
      <c r="MIA47" s="987"/>
      <c r="MIB47" s="987"/>
      <c r="MIC47" s="987"/>
      <c r="MID47" s="987"/>
      <c r="MIE47" s="987"/>
      <c r="MIF47" s="987"/>
      <c r="MIG47" s="987"/>
      <c r="MIH47" s="987"/>
      <c r="MII47" s="987"/>
      <c r="MIJ47" s="987"/>
      <c r="MIK47" s="987"/>
      <c r="MIL47" s="987"/>
      <c r="MIM47" s="987"/>
      <c r="MIN47" s="987"/>
      <c r="MIO47" s="987"/>
      <c r="MIP47" s="987"/>
      <c r="MIQ47" s="987"/>
      <c r="MIR47" s="987"/>
      <c r="MIS47" s="987"/>
      <c r="MIT47" s="987"/>
      <c r="MIU47" s="987"/>
      <c r="MIV47" s="987"/>
      <c r="MIW47" s="987"/>
      <c r="MIX47" s="987"/>
      <c r="MIY47" s="987"/>
      <c r="MIZ47" s="987"/>
      <c r="MJA47" s="987"/>
      <c r="MJB47" s="987"/>
      <c r="MJC47" s="987"/>
      <c r="MJD47" s="987"/>
      <c r="MJE47" s="987"/>
      <c r="MJF47" s="987"/>
      <c r="MJG47" s="987"/>
      <c r="MJH47" s="987"/>
      <c r="MJI47" s="987"/>
      <c r="MJJ47" s="987"/>
      <c r="MJK47" s="987"/>
      <c r="MJL47" s="987"/>
      <c r="MJM47" s="987"/>
      <c r="MJN47" s="987"/>
      <c r="MJO47" s="987"/>
      <c r="MJP47" s="987"/>
      <c r="MJQ47" s="987"/>
      <c r="MJR47" s="987"/>
      <c r="MJS47" s="987"/>
      <c r="MJT47" s="987"/>
      <c r="MJU47" s="987"/>
      <c r="MJV47" s="987"/>
      <c r="MJW47" s="987"/>
      <c r="MJX47" s="987"/>
      <c r="MJY47" s="987"/>
      <c r="MJZ47" s="987"/>
      <c r="MKA47" s="987"/>
      <c r="MKB47" s="987"/>
      <c r="MKC47" s="987"/>
      <c r="MKD47" s="987"/>
      <c r="MKE47" s="987"/>
      <c r="MKF47" s="987"/>
      <c r="MKG47" s="987"/>
      <c r="MKH47" s="987"/>
      <c r="MKI47" s="987"/>
      <c r="MKJ47" s="987"/>
      <c r="MKK47" s="987"/>
      <c r="MKL47" s="987"/>
      <c r="MKM47" s="987"/>
      <c r="MKN47" s="987"/>
      <c r="MKO47" s="987"/>
      <c r="MKP47" s="987"/>
      <c r="MKQ47" s="987"/>
      <c r="MKR47" s="987"/>
      <c r="MKS47" s="987"/>
      <c r="MKT47" s="987"/>
      <c r="MKU47" s="987"/>
      <c r="MKV47" s="987"/>
      <c r="MKW47" s="987"/>
      <c r="MKX47" s="987"/>
      <c r="MKY47" s="987"/>
      <c r="MKZ47" s="987"/>
      <c r="MLA47" s="987"/>
      <c r="MLB47" s="987"/>
      <c r="MLC47" s="987"/>
      <c r="MLD47" s="987"/>
      <c r="MLE47" s="987"/>
      <c r="MLF47" s="987"/>
      <c r="MLG47" s="987"/>
      <c r="MLH47" s="987"/>
      <c r="MLI47" s="987"/>
      <c r="MLJ47" s="987"/>
      <c r="MLK47" s="987"/>
      <c r="MLL47" s="987"/>
      <c r="MLM47" s="987"/>
      <c r="MLN47" s="987"/>
      <c r="MLO47" s="987"/>
      <c r="MLP47" s="987"/>
      <c r="MLQ47" s="987"/>
      <c r="MLR47" s="987"/>
      <c r="MLS47" s="987"/>
      <c r="MLT47" s="987"/>
      <c r="MLU47" s="987"/>
      <c r="MLV47" s="987"/>
      <c r="MLW47" s="987"/>
      <c r="MLX47" s="987"/>
      <c r="MLY47" s="987"/>
      <c r="MLZ47" s="987"/>
      <c r="MMA47" s="987"/>
      <c r="MMB47" s="987"/>
      <c r="MMC47" s="987"/>
      <c r="MMD47" s="987"/>
      <c r="MME47" s="987"/>
      <c r="MMF47" s="987"/>
      <c r="MMG47" s="987"/>
      <c r="MMH47" s="987"/>
      <c r="MMI47" s="987"/>
      <c r="MMJ47" s="987"/>
      <c r="MMK47" s="987"/>
      <c r="MML47" s="987"/>
      <c r="MMM47" s="987"/>
      <c r="MMN47" s="987"/>
      <c r="MMO47" s="987"/>
      <c r="MMP47" s="987"/>
      <c r="MMQ47" s="987"/>
      <c r="MMR47" s="987"/>
      <c r="MMS47" s="987"/>
      <c r="MMT47" s="987"/>
      <c r="MMU47" s="987"/>
      <c r="MMV47" s="987"/>
      <c r="MMW47" s="987"/>
      <c r="MMX47" s="987"/>
      <c r="MMY47" s="987"/>
      <c r="MMZ47" s="987"/>
      <c r="MNA47" s="987"/>
      <c r="MNB47" s="987"/>
      <c r="MNC47" s="987"/>
      <c r="MND47" s="987"/>
      <c r="MNE47" s="987"/>
      <c r="MNF47" s="987"/>
      <c r="MNG47" s="987"/>
      <c r="MNH47" s="987"/>
      <c r="MNI47" s="987"/>
      <c r="MNJ47" s="987"/>
      <c r="MNK47" s="987"/>
      <c r="MNL47" s="987"/>
      <c r="MNM47" s="987"/>
      <c r="MNN47" s="987"/>
      <c r="MNO47" s="987"/>
      <c r="MNP47" s="987"/>
      <c r="MNQ47" s="987"/>
      <c r="MNR47" s="987"/>
      <c r="MNS47" s="987"/>
      <c r="MNT47" s="987"/>
      <c r="MNU47" s="987"/>
      <c r="MNV47" s="987"/>
      <c r="MNW47" s="987"/>
      <c r="MNX47" s="987"/>
      <c r="MNY47" s="987"/>
      <c r="MNZ47" s="987"/>
      <c r="MOA47" s="987"/>
      <c r="MOB47" s="987"/>
      <c r="MOC47" s="987"/>
      <c r="MOD47" s="987"/>
      <c r="MOE47" s="987"/>
      <c r="MOF47" s="987"/>
      <c r="MOG47" s="987"/>
      <c r="MOH47" s="987"/>
      <c r="MOI47" s="987"/>
      <c r="MOJ47" s="987"/>
      <c r="MOK47" s="987"/>
      <c r="MOL47" s="987"/>
      <c r="MOM47" s="987"/>
      <c r="MON47" s="987"/>
      <c r="MOO47" s="987"/>
      <c r="MOP47" s="987"/>
      <c r="MOQ47" s="987"/>
      <c r="MOR47" s="987"/>
      <c r="MOS47" s="987"/>
      <c r="MOT47" s="987"/>
      <c r="MOU47" s="987"/>
      <c r="MOV47" s="987"/>
      <c r="MOW47" s="987"/>
      <c r="MOX47" s="987"/>
      <c r="MOY47" s="987"/>
      <c r="MOZ47" s="987"/>
      <c r="MPA47" s="987"/>
      <c r="MPB47" s="987"/>
      <c r="MPC47" s="987"/>
      <c r="MPD47" s="987"/>
      <c r="MPE47" s="987"/>
      <c r="MPF47" s="987"/>
      <c r="MPG47" s="987"/>
      <c r="MPH47" s="987"/>
      <c r="MPI47" s="987"/>
      <c r="MPJ47" s="987"/>
      <c r="MPK47" s="987"/>
      <c r="MPL47" s="987"/>
      <c r="MPM47" s="987"/>
      <c r="MPN47" s="987"/>
      <c r="MPO47" s="987"/>
      <c r="MPP47" s="987"/>
      <c r="MPQ47" s="987"/>
      <c r="MPR47" s="987"/>
      <c r="MPS47" s="987"/>
      <c r="MPT47" s="987"/>
      <c r="MPU47" s="987"/>
      <c r="MPV47" s="987"/>
      <c r="MPW47" s="987"/>
      <c r="MPX47" s="987"/>
      <c r="MPY47" s="987"/>
      <c r="MPZ47" s="987"/>
      <c r="MQA47" s="987"/>
      <c r="MQB47" s="987"/>
      <c r="MQC47" s="987"/>
      <c r="MQD47" s="987"/>
      <c r="MQE47" s="987"/>
      <c r="MQF47" s="987"/>
      <c r="MQG47" s="987"/>
      <c r="MQH47" s="987"/>
      <c r="MQI47" s="987"/>
      <c r="MQJ47" s="987"/>
      <c r="MQK47" s="987"/>
      <c r="MQL47" s="987"/>
      <c r="MQM47" s="987"/>
      <c r="MQN47" s="987"/>
      <c r="MQO47" s="987"/>
      <c r="MQP47" s="987"/>
      <c r="MQQ47" s="987"/>
      <c r="MQR47" s="987"/>
      <c r="MQS47" s="987"/>
      <c r="MQT47" s="987"/>
      <c r="MQU47" s="987"/>
      <c r="MQV47" s="987"/>
      <c r="MQW47" s="987"/>
      <c r="MQX47" s="987"/>
      <c r="MQY47" s="987"/>
      <c r="MQZ47" s="987"/>
      <c r="MRA47" s="987"/>
      <c r="MRB47" s="987"/>
      <c r="MRC47" s="987"/>
      <c r="MRD47" s="987"/>
      <c r="MRE47" s="987"/>
      <c r="MRF47" s="987"/>
      <c r="MRG47" s="987"/>
      <c r="MRH47" s="987"/>
      <c r="MRI47" s="987"/>
      <c r="MRJ47" s="987"/>
      <c r="MRK47" s="987"/>
      <c r="MRL47" s="987"/>
      <c r="MRM47" s="987"/>
      <c r="MRN47" s="987"/>
      <c r="MRO47" s="987"/>
      <c r="MRP47" s="987"/>
      <c r="MRQ47" s="987"/>
      <c r="MRR47" s="987"/>
      <c r="MRS47" s="987"/>
      <c r="MRT47" s="987"/>
      <c r="MRU47" s="987"/>
      <c r="MRV47" s="987"/>
      <c r="MRW47" s="987"/>
      <c r="MRX47" s="987"/>
      <c r="MRY47" s="987"/>
      <c r="MRZ47" s="987"/>
      <c r="MSA47" s="987"/>
      <c r="MSB47" s="987"/>
      <c r="MSC47" s="987"/>
      <c r="MSD47" s="987"/>
      <c r="MSE47" s="987"/>
      <c r="MSF47" s="987"/>
      <c r="MSG47" s="987"/>
      <c r="MSH47" s="987"/>
      <c r="MSI47" s="987"/>
      <c r="MSJ47" s="987"/>
      <c r="MSK47" s="987"/>
      <c r="MSL47" s="987"/>
      <c r="MSM47" s="987"/>
      <c r="MSN47" s="987"/>
      <c r="MSO47" s="987"/>
      <c r="MSP47" s="987"/>
      <c r="MSQ47" s="987"/>
      <c r="MSR47" s="987"/>
      <c r="MSS47" s="987"/>
      <c r="MST47" s="987"/>
      <c r="MSU47" s="987"/>
      <c r="MSV47" s="987"/>
      <c r="MSW47" s="987"/>
      <c r="MSX47" s="987"/>
      <c r="MSY47" s="987"/>
      <c r="MSZ47" s="987"/>
      <c r="MTA47" s="987"/>
      <c r="MTB47" s="987"/>
      <c r="MTC47" s="987"/>
      <c r="MTD47" s="987"/>
      <c r="MTE47" s="987"/>
      <c r="MTF47" s="987"/>
      <c r="MTG47" s="987"/>
      <c r="MTH47" s="987"/>
      <c r="MTI47" s="987"/>
      <c r="MTJ47" s="987"/>
      <c r="MTK47" s="987"/>
      <c r="MTL47" s="987"/>
      <c r="MTM47" s="987"/>
      <c r="MTN47" s="987"/>
      <c r="MTO47" s="987"/>
      <c r="MTP47" s="987"/>
      <c r="MTQ47" s="987"/>
      <c r="MTR47" s="987"/>
      <c r="MTS47" s="987"/>
      <c r="MTT47" s="987"/>
      <c r="MTU47" s="987"/>
      <c r="MTV47" s="987"/>
      <c r="MTW47" s="987"/>
      <c r="MTX47" s="987"/>
      <c r="MTY47" s="987"/>
      <c r="MTZ47" s="987"/>
      <c r="MUA47" s="987"/>
      <c r="MUB47" s="987"/>
      <c r="MUC47" s="987"/>
      <c r="MUD47" s="987"/>
      <c r="MUE47" s="987"/>
      <c r="MUF47" s="987"/>
      <c r="MUG47" s="987"/>
      <c r="MUH47" s="987"/>
      <c r="MUI47" s="987"/>
      <c r="MUJ47" s="987"/>
      <c r="MUK47" s="987"/>
      <c r="MUL47" s="987"/>
      <c r="MUM47" s="987"/>
      <c r="MUN47" s="987"/>
      <c r="MUO47" s="987"/>
      <c r="MUP47" s="987"/>
      <c r="MUQ47" s="987"/>
      <c r="MUR47" s="987"/>
      <c r="MUS47" s="987"/>
      <c r="MUT47" s="987"/>
      <c r="MUU47" s="987"/>
      <c r="MUV47" s="987"/>
      <c r="MUW47" s="987"/>
      <c r="MUX47" s="987"/>
      <c r="MUY47" s="987"/>
      <c r="MUZ47" s="987"/>
      <c r="MVA47" s="987"/>
      <c r="MVB47" s="987"/>
      <c r="MVC47" s="987"/>
      <c r="MVD47" s="987"/>
      <c r="MVE47" s="987"/>
      <c r="MVF47" s="987"/>
      <c r="MVG47" s="987"/>
      <c r="MVH47" s="987"/>
      <c r="MVI47" s="987"/>
      <c r="MVJ47" s="987"/>
      <c r="MVK47" s="987"/>
      <c r="MVL47" s="987"/>
      <c r="MVM47" s="987"/>
      <c r="MVN47" s="987"/>
      <c r="MVO47" s="987"/>
      <c r="MVP47" s="987"/>
      <c r="MVQ47" s="987"/>
      <c r="MVR47" s="987"/>
      <c r="MVS47" s="987"/>
      <c r="MVT47" s="987"/>
      <c r="MVU47" s="987"/>
      <c r="MVV47" s="987"/>
      <c r="MVW47" s="987"/>
      <c r="MVX47" s="987"/>
      <c r="MVY47" s="987"/>
      <c r="MVZ47" s="987"/>
      <c r="MWA47" s="987"/>
      <c r="MWB47" s="987"/>
      <c r="MWC47" s="987"/>
      <c r="MWD47" s="987"/>
      <c r="MWE47" s="987"/>
      <c r="MWF47" s="987"/>
      <c r="MWG47" s="987"/>
      <c r="MWH47" s="987"/>
      <c r="MWI47" s="987"/>
      <c r="MWJ47" s="987"/>
      <c r="MWK47" s="987"/>
      <c r="MWL47" s="987"/>
      <c r="MWM47" s="987"/>
      <c r="MWN47" s="987"/>
      <c r="MWO47" s="987"/>
      <c r="MWP47" s="987"/>
      <c r="MWQ47" s="987"/>
      <c r="MWR47" s="987"/>
      <c r="MWS47" s="987"/>
      <c r="MWT47" s="987"/>
      <c r="MWU47" s="987"/>
      <c r="MWV47" s="987"/>
      <c r="MWW47" s="987"/>
      <c r="MWX47" s="987"/>
      <c r="MWY47" s="987"/>
      <c r="MWZ47" s="987"/>
      <c r="MXA47" s="987"/>
      <c r="MXB47" s="987"/>
      <c r="MXC47" s="987"/>
      <c r="MXD47" s="987"/>
      <c r="MXE47" s="987"/>
      <c r="MXF47" s="987"/>
      <c r="MXG47" s="987"/>
      <c r="MXH47" s="987"/>
      <c r="MXI47" s="987"/>
      <c r="MXJ47" s="987"/>
      <c r="MXK47" s="987"/>
      <c r="MXL47" s="987"/>
      <c r="MXM47" s="987"/>
      <c r="MXN47" s="987"/>
      <c r="MXO47" s="987"/>
      <c r="MXP47" s="987"/>
      <c r="MXQ47" s="987"/>
      <c r="MXR47" s="987"/>
      <c r="MXS47" s="987"/>
      <c r="MXT47" s="987"/>
      <c r="MXU47" s="987"/>
      <c r="MXV47" s="987"/>
      <c r="MXW47" s="987"/>
      <c r="MXX47" s="987"/>
      <c r="MXY47" s="987"/>
      <c r="MXZ47" s="987"/>
      <c r="MYA47" s="987"/>
      <c r="MYB47" s="987"/>
      <c r="MYC47" s="987"/>
      <c r="MYD47" s="987"/>
      <c r="MYE47" s="987"/>
      <c r="MYF47" s="987"/>
      <c r="MYG47" s="987"/>
      <c r="MYH47" s="987"/>
      <c r="MYI47" s="987"/>
      <c r="MYJ47" s="987"/>
      <c r="MYK47" s="987"/>
      <c r="MYL47" s="987"/>
      <c r="MYM47" s="987"/>
      <c r="MYN47" s="987"/>
      <c r="MYO47" s="987"/>
      <c r="MYP47" s="987"/>
      <c r="MYQ47" s="987"/>
      <c r="MYR47" s="987"/>
      <c r="MYS47" s="987"/>
      <c r="MYT47" s="987"/>
      <c r="MYU47" s="987"/>
      <c r="MYV47" s="987"/>
      <c r="MYW47" s="987"/>
      <c r="MYX47" s="987"/>
      <c r="MYY47" s="987"/>
      <c r="MYZ47" s="987"/>
      <c r="MZA47" s="987"/>
      <c r="MZB47" s="987"/>
      <c r="MZC47" s="987"/>
      <c r="MZD47" s="987"/>
      <c r="MZE47" s="987"/>
      <c r="MZF47" s="987"/>
      <c r="MZG47" s="987"/>
      <c r="MZH47" s="987"/>
      <c r="MZI47" s="987"/>
      <c r="MZJ47" s="987"/>
      <c r="MZK47" s="987"/>
      <c r="MZL47" s="987"/>
      <c r="MZM47" s="987"/>
      <c r="MZN47" s="987"/>
      <c r="MZO47" s="987"/>
      <c r="MZP47" s="987"/>
      <c r="MZQ47" s="987"/>
      <c r="MZR47" s="987"/>
      <c r="MZS47" s="987"/>
      <c r="MZT47" s="987"/>
      <c r="MZU47" s="987"/>
      <c r="MZV47" s="987"/>
      <c r="MZW47" s="987"/>
      <c r="MZX47" s="987"/>
      <c r="MZY47" s="987"/>
      <c r="MZZ47" s="987"/>
      <c r="NAA47" s="987"/>
      <c r="NAB47" s="987"/>
      <c r="NAC47" s="987"/>
      <c r="NAD47" s="987"/>
      <c r="NAE47" s="987"/>
      <c r="NAF47" s="987"/>
      <c r="NAG47" s="987"/>
      <c r="NAH47" s="987"/>
      <c r="NAI47" s="987"/>
      <c r="NAJ47" s="987"/>
      <c r="NAK47" s="987"/>
      <c r="NAL47" s="987"/>
      <c r="NAM47" s="987"/>
      <c r="NAN47" s="987"/>
      <c r="NAO47" s="987"/>
      <c r="NAP47" s="987"/>
      <c r="NAQ47" s="987"/>
      <c r="NAR47" s="987"/>
      <c r="NAS47" s="987"/>
      <c r="NAT47" s="987"/>
      <c r="NAU47" s="987"/>
      <c r="NAV47" s="987"/>
      <c r="NAW47" s="987"/>
      <c r="NAX47" s="987"/>
      <c r="NAY47" s="987"/>
      <c r="NAZ47" s="987"/>
      <c r="NBA47" s="987"/>
      <c r="NBB47" s="987"/>
      <c r="NBC47" s="987"/>
      <c r="NBD47" s="987"/>
      <c r="NBE47" s="987"/>
      <c r="NBF47" s="987"/>
      <c r="NBG47" s="987"/>
      <c r="NBH47" s="987"/>
      <c r="NBI47" s="987"/>
      <c r="NBJ47" s="987"/>
      <c r="NBK47" s="987"/>
      <c r="NBL47" s="987"/>
      <c r="NBM47" s="987"/>
      <c r="NBN47" s="987"/>
      <c r="NBO47" s="987"/>
      <c r="NBP47" s="987"/>
      <c r="NBQ47" s="987"/>
      <c r="NBR47" s="987"/>
      <c r="NBS47" s="987"/>
      <c r="NBT47" s="987"/>
      <c r="NBU47" s="987"/>
      <c r="NBV47" s="987"/>
      <c r="NBW47" s="987"/>
      <c r="NBX47" s="987"/>
      <c r="NBY47" s="987"/>
      <c r="NBZ47" s="987"/>
      <c r="NCA47" s="987"/>
      <c r="NCB47" s="987"/>
      <c r="NCC47" s="987"/>
      <c r="NCD47" s="987"/>
      <c r="NCE47" s="987"/>
      <c r="NCF47" s="987"/>
      <c r="NCG47" s="987"/>
      <c r="NCH47" s="987"/>
      <c r="NCI47" s="987"/>
      <c r="NCJ47" s="987"/>
      <c r="NCK47" s="987"/>
      <c r="NCL47" s="987"/>
      <c r="NCM47" s="987"/>
      <c r="NCN47" s="987"/>
      <c r="NCO47" s="987"/>
      <c r="NCP47" s="987"/>
      <c r="NCQ47" s="987"/>
      <c r="NCR47" s="987"/>
      <c r="NCS47" s="987"/>
      <c r="NCT47" s="987"/>
      <c r="NCU47" s="987"/>
      <c r="NCV47" s="987"/>
      <c r="NCW47" s="987"/>
      <c r="NCX47" s="987"/>
      <c r="NCY47" s="987"/>
      <c r="NCZ47" s="987"/>
      <c r="NDA47" s="987"/>
      <c r="NDB47" s="987"/>
      <c r="NDC47" s="987"/>
      <c r="NDD47" s="987"/>
      <c r="NDE47" s="987"/>
      <c r="NDF47" s="987"/>
      <c r="NDG47" s="987"/>
      <c r="NDH47" s="987"/>
      <c r="NDI47" s="987"/>
      <c r="NDJ47" s="987"/>
      <c r="NDK47" s="987"/>
      <c r="NDL47" s="987"/>
      <c r="NDM47" s="987"/>
      <c r="NDN47" s="987"/>
      <c r="NDO47" s="987"/>
      <c r="NDP47" s="987"/>
      <c r="NDQ47" s="987"/>
      <c r="NDR47" s="987"/>
      <c r="NDS47" s="987"/>
      <c r="NDT47" s="987"/>
      <c r="NDU47" s="987"/>
      <c r="NDV47" s="987"/>
      <c r="NDW47" s="987"/>
      <c r="NDX47" s="987"/>
      <c r="NDY47" s="987"/>
      <c r="NDZ47" s="987"/>
      <c r="NEA47" s="987"/>
      <c r="NEB47" s="987"/>
      <c r="NEC47" s="987"/>
      <c r="NED47" s="987"/>
      <c r="NEE47" s="987"/>
      <c r="NEF47" s="987"/>
      <c r="NEG47" s="987"/>
      <c r="NEH47" s="987"/>
      <c r="NEI47" s="987"/>
      <c r="NEJ47" s="987"/>
      <c r="NEK47" s="987"/>
      <c r="NEL47" s="987"/>
      <c r="NEM47" s="987"/>
      <c r="NEN47" s="987"/>
      <c r="NEO47" s="987"/>
      <c r="NEP47" s="987"/>
      <c r="NEQ47" s="987"/>
      <c r="NER47" s="987"/>
      <c r="NES47" s="987"/>
      <c r="NET47" s="987"/>
      <c r="NEU47" s="987"/>
      <c r="NEV47" s="987"/>
      <c r="NEW47" s="987"/>
      <c r="NEX47" s="987"/>
      <c r="NEY47" s="987"/>
      <c r="NEZ47" s="987"/>
      <c r="NFA47" s="987"/>
      <c r="NFB47" s="987"/>
      <c r="NFC47" s="987"/>
      <c r="NFD47" s="987"/>
      <c r="NFE47" s="987"/>
      <c r="NFF47" s="987"/>
      <c r="NFG47" s="987"/>
      <c r="NFH47" s="987"/>
      <c r="NFI47" s="987"/>
      <c r="NFJ47" s="987"/>
      <c r="NFK47" s="987"/>
      <c r="NFL47" s="987"/>
      <c r="NFM47" s="987"/>
      <c r="NFN47" s="987"/>
      <c r="NFO47" s="987"/>
      <c r="NFP47" s="987"/>
      <c r="NFQ47" s="987"/>
      <c r="NFR47" s="987"/>
      <c r="NFS47" s="987"/>
      <c r="NFT47" s="987"/>
      <c r="NFU47" s="987"/>
      <c r="NFV47" s="987"/>
      <c r="NFW47" s="987"/>
      <c r="NFX47" s="987"/>
      <c r="NFY47" s="987"/>
      <c r="NFZ47" s="987"/>
      <c r="NGA47" s="987"/>
      <c r="NGB47" s="987"/>
      <c r="NGC47" s="987"/>
      <c r="NGD47" s="987"/>
      <c r="NGE47" s="987"/>
      <c r="NGF47" s="987"/>
      <c r="NGG47" s="987"/>
      <c r="NGH47" s="987"/>
      <c r="NGI47" s="987"/>
      <c r="NGJ47" s="987"/>
      <c r="NGK47" s="987"/>
      <c r="NGL47" s="987"/>
      <c r="NGM47" s="987"/>
      <c r="NGN47" s="987"/>
      <c r="NGO47" s="987"/>
      <c r="NGP47" s="987"/>
      <c r="NGQ47" s="987"/>
      <c r="NGR47" s="987"/>
      <c r="NGS47" s="987"/>
      <c r="NGT47" s="987"/>
      <c r="NGU47" s="987"/>
      <c r="NGV47" s="987"/>
      <c r="NGW47" s="987"/>
      <c r="NGX47" s="987"/>
      <c r="NGY47" s="987"/>
      <c r="NGZ47" s="987"/>
      <c r="NHA47" s="987"/>
      <c r="NHB47" s="987"/>
      <c r="NHC47" s="987"/>
      <c r="NHD47" s="987"/>
      <c r="NHE47" s="987"/>
      <c r="NHF47" s="987"/>
      <c r="NHG47" s="987"/>
      <c r="NHH47" s="987"/>
      <c r="NHI47" s="987"/>
      <c r="NHJ47" s="987"/>
      <c r="NHK47" s="987"/>
      <c r="NHL47" s="987"/>
      <c r="NHM47" s="987"/>
      <c r="NHN47" s="987"/>
      <c r="NHO47" s="987"/>
      <c r="NHP47" s="987"/>
      <c r="NHQ47" s="987"/>
      <c r="NHR47" s="987"/>
      <c r="NHS47" s="987"/>
      <c r="NHT47" s="987"/>
      <c r="NHU47" s="987"/>
      <c r="NHV47" s="987"/>
      <c r="NHW47" s="987"/>
      <c r="NHX47" s="987"/>
      <c r="NHY47" s="987"/>
      <c r="NHZ47" s="987"/>
      <c r="NIA47" s="987"/>
      <c r="NIB47" s="987"/>
      <c r="NIC47" s="987"/>
      <c r="NID47" s="987"/>
      <c r="NIE47" s="987"/>
      <c r="NIF47" s="987"/>
      <c r="NIG47" s="987"/>
      <c r="NIH47" s="987"/>
      <c r="NII47" s="987"/>
      <c r="NIJ47" s="987"/>
      <c r="NIK47" s="987"/>
      <c r="NIL47" s="987"/>
      <c r="NIM47" s="987"/>
      <c r="NIN47" s="987"/>
      <c r="NIO47" s="987"/>
      <c r="NIP47" s="987"/>
      <c r="NIQ47" s="987"/>
      <c r="NIR47" s="987"/>
      <c r="NIS47" s="987"/>
      <c r="NIT47" s="987"/>
      <c r="NIU47" s="987"/>
      <c r="NIV47" s="987"/>
      <c r="NIW47" s="987"/>
      <c r="NIX47" s="987"/>
      <c r="NIY47" s="987"/>
      <c r="NIZ47" s="987"/>
      <c r="NJA47" s="987"/>
      <c r="NJB47" s="987"/>
      <c r="NJC47" s="987"/>
      <c r="NJD47" s="987"/>
      <c r="NJE47" s="987"/>
      <c r="NJF47" s="987"/>
      <c r="NJG47" s="987"/>
      <c r="NJH47" s="987"/>
      <c r="NJI47" s="987"/>
      <c r="NJJ47" s="987"/>
      <c r="NJK47" s="987"/>
      <c r="NJL47" s="987"/>
      <c r="NJM47" s="987"/>
      <c r="NJN47" s="987"/>
      <c r="NJO47" s="987"/>
      <c r="NJP47" s="987"/>
      <c r="NJQ47" s="987"/>
      <c r="NJR47" s="987"/>
      <c r="NJS47" s="987"/>
      <c r="NJT47" s="987"/>
      <c r="NJU47" s="987"/>
      <c r="NJV47" s="987"/>
      <c r="NJW47" s="987"/>
      <c r="NJX47" s="987"/>
      <c r="NJY47" s="987"/>
      <c r="NJZ47" s="987"/>
      <c r="NKA47" s="987"/>
      <c r="NKB47" s="987"/>
      <c r="NKC47" s="987"/>
      <c r="NKD47" s="987"/>
      <c r="NKE47" s="987"/>
      <c r="NKF47" s="987"/>
      <c r="NKG47" s="987"/>
      <c r="NKH47" s="987"/>
      <c r="NKI47" s="987"/>
      <c r="NKJ47" s="987"/>
      <c r="NKK47" s="987"/>
      <c r="NKL47" s="987"/>
      <c r="NKM47" s="987"/>
      <c r="NKN47" s="987"/>
      <c r="NKO47" s="987"/>
      <c r="NKP47" s="987"/>
      <c r="NKQ47" s="987"/>
      <c r="NKR47" s="987"/>
      <c r="NKS47" s="987"/>
      <c r="NKT47" s="987"/>
      <c r="NKU47" s="987"/>
      <c r="NKV47" s="987"/>
      <c r="NKW47" s="987"/>
      <c r="NKX47" s="987"/>
      <c r="NKY47" s="987"/>
      <c r="NKZ47" s="987"/>
      <c r="NLA47" s="987"/>
      <c r="NLB47" s="987"/>
      <c r="NLC47" s="987"/>
      <c r="NLD47" s="987"/>
      <c r="NLE47" s="987"/>
      <c r="NLF47" s="987"/>
      <c r="NLG47" s="987"/>
      <c r="NLH47" s="987"/>
      <c r="NLI47" s="987"/>
      <c r="NLJ47" s="987"/>
      <c r="NLK47" s="987"/>
      <c r="NLL47" s="987"/>
      <c r="NLM47" s="987"/>
      <c r="NLN47" s="987"/>
      <c r="NLO47" s="987"/>
      <c r="NLP47" s="987"/>
      <c r="NLQ47" s="987"/>
      <c r="NLR47" s="987"/>
      <c r="NLS47" s="987"/>
      <c r="NLT47" s="987"/>
      <c r="NLU47" s="987"/>
      <c r="NLV47" s="987"/>
      <c r="NLW47" s="987"/>
      <c r="NLX47" s="987"/>
      <c r="NLY47" s="987"/>
      <c r="NLZ47" s="987"/>
      <c r="NMA47" s="987"/>
      <c r="NMB47" s="987"/>
      <c r="NMC47" s="987"/>
      <c r="NMD47" s="987"/>
      <c r="NME47" s="987"/>
      <c r="NMF47" s="987"/>
      <c r="NMG47" s="987"/>
      <c r="NMH47" s="987"/>
      <c r="NMI47" s="987"/>
      <c r="NMJ47" s="987"/>
      <c r="NMK47" s="987"/>
      <c r="NML47" s="987"/>
      <c r="NMM47" s="987"/>
      <c r="NMN47" s="987"/>
      <c r="NMO47" s="987"/>
      <c r="NMP47" s="987"/>
      <c r="NMQ47" s="987"/>
      <c r="NMR47" s="987"/>
      <c r="NMS47" s="987"/>
      <c r="NMT47" s="987"/>
      <c r="NMU47" s="987"/>
      <c r="NMV47" s="987"/>
      <c r="NMW47" s="987"/>
      <c r="NMX47" s="987"/>
      <c r="NMY47" s="987"/>
      <c r="NMZ47" s="987"/>
      <c r="NNA47" s="987"/>
      <c r="NNB47" s="987"/>
      <c r="NNC47" s="987"/>
      <c r="NND47" s="987"/>
      <c r="NNE47" s="987"/>
      <c r="NNF47" s="987"/>
      <c r="NNG47" s="987"/>
      <c r="NNH47" s="987"/>
      <c r="NNI47" s="987"/>
      <c r="NNJ47" s="987"/>
      <c r="NNK47" s="987"/>
      <c r="NNL47" s="987"/>
      <c r="NNM47" s="987"/>
      <c r="NNN47" s="987"/>
      <c r="NNO47" s="987"/>
      <c r="NNP47" s="987"/>
      <c r="NNQ47" s="987"/>
      <c r="NNR47" s="987"/>
      <c r="NNS47" s="987"/>
      <c r="NNT47" s="987"/>
      <c r="NNU47" s="987"/>
      <c r="NNV47" s="987"/>
      <c r="NNW47" s="987"/>
      <c r="NNX47" s="987"/>
      <c r="NNY47" s="987"/>
      <c r="NNZ47" s="987"/>
      <c r="NOA47" s="987"/>
      <c r="NOB47" s="987"/>
      <c r="NOC47" s="987"/>
      <c r="NOD47" s="987"/>
      <c r="NOE47" s="987"/>
      <c r="NOF47" s="987"/>
      <c r="NOG47" s="987"/>
      <c r="NOH47" s="987"/>
      <c r="NOI47" s="987"/>
      <c r="NOJ47" s="987"/>
      <c r="NOK47" s="987"/>
      <c r="NOL47" s="987"/>
      <c r="NOM47" s="987"/>
      <c r="NON47" s="987"/>
      <c r="NOO47" s="987"/>
      <c r="NOP47" s="987"/>
      <c r="NOQ47" s="987"/>
      <c r="NOR47" s="987"/>
      <c r="NOS47" s="987"/>
      <c r="NOT47" s="987"/>
      <c r="NOU47" s="987"/>
      <c r="NOV47" s="987"/>
      <c r="NOW47" s="987"/>
      <c r="NOX47" s="987"/>
      <c r="NOY47" s="987"/>
      <c r="NOZ47" s="987"/>
      <c r="NPA47" s="987"/>
      <c r="NPB47" s="987"/>
      <c r="NPC47" s="987"/>
      <c r="NPD47" s="987"/>
      <c r="NPE47" s="987"/>
      <c r="NPF47" s="987"/>
      <c r="NPG47" s="987"/>
      <c r="NPH47" s="987"/>
      <c r="NPI47" s="987"/>
      <c r="NPJ47" s="987"/>
      <c r="NPK47" s="987"/>
      <c r="NPL47" s="987"/>
      <c r="NPM47" s="987"/>
      <c r="NPN47" s="987"/>
      <c r="NPO47" s="987"/>
      <c r="NPP47" s="987"/>
      <c r="NPQ47" s="987"/>
      <c r="NPR47" s="987"/>
      <c r="NPS47" s="987"/>
      <c r="NPT47" s="987"/>
      <c r="NPU47" s="987"/>
      <c r="NPV47" s="987"/>
      <c r="NPW47" s="987"/>
      <c r="NPX47" s="987"/>
      <c r="NPY47" s="987"/>
      <c r="NPZ47" s="987"/>
      <c r="NQA47" s="987"/>
      <c r="NQB47" s="987"/>
      <c r="NQC47" s="987"/>
      <c r="NQD47" s="987"/>
      <c r="NQE47" s="987"/>
      <c r="NQF47" s="987"/>
      <c r="NQG47" s="987"/>
      <c r="NQH47" s="987"/>
      <c r="NQI47" s="987"/>
      <c r="NQJ47" s="987"/>
      <c r="NQK47" s="987"/>
      <c r="NQL47" s="987"/>
      <c r="NQM47" s="987"/>
      <c r="NQN47" s="987"/>
      <c r="NQO47" s="987"/>
      <c r="NQP47" s="987"/>
      <c r="NQQ47" s="987"/>
      <c r="NQR47" s="987"/>
      <c r="NQS47" s="987"/>
      <c r="NQT47" s="987"/>
      <c r="NQU47" s="987"/>
      <c r="NQV47" s="987"/>
      <c r="NQW47" s="987"/>
      <c r="NQX47" s="987"/>
      <c r="NQY47" s="987"/>
      <c r="NQZ47" s="987"/>
      <c r="NRA47" s="987"/>
      <c r="NRB47" s="987"/>
      <c r="NRC47" s="987"/>
      <c r="NRD47" s="987"/>
      <c r="NRE47" s="987"/>
      <c r="NRF47" s="987"/>
      <c r="NRG47" s="987"/>
      <c r="NRH47" s="987"/>
      <c r="NRI47" s="987"/>
      <c r="NRJ47" s="987"/>
      <c r="NRK47" s="987"/>
      <c r="NRL47" s="987"/>
      <c r="NRM47" s="987"/>
      <c r="NRN47" s="987"/>
      <c r="NRO47" s="987"/>
      <c r="NRP47" s="987"/>
      <c r="NRQ47" s="987"/>
      <c r="NRR47" s="987"/>
      <c r="NRS47" s="987"/>
      <c r="NRT47" s="987"/>
      <c r="NRU47" s="987"/>
      <c r="NRV47" s="987"/>
      <c r="NRW47" s="987"/>
      <c r="NRX47" s="987"/>
      <c r="NRY47" s="987"/>
      <c r="NRZ47" s="987"/>
      <c r="NSA47" s="987"/>
      <c r="NSB47" s="987"/>
      <c r="NSC47" s="987"/>
      <c r="NSD47" s="987"/>
      <c r="NSE47" s="987"/>
      <c r="NSF47" s="987"/>
      <c r="NSG47" s="987"/>
      <c r="NSH47" s="987"/>
      <c r="NSI47" s="987"/>
      <c r="NSJ47" s="987"/>
      <c r="NSK47" s="987"/>
      <c r="NSL47" s="987"/>
      <c r="NSM47" s="987"/>
      <c r="NSN47" s="987"/>
      <c r="NSO47" s="987"/>
      <c r="NSP47" s="987"/>
      <c r="NSQ47" s="987"/>
      <c r="NSR47" s="987"/>
      <c r="NSS47" s="987"/>
      <c r="NST47" s="987"/>
      <c r="NSU47" s="987"/>
      <c r="NSV47" s="987"/>
      <c r="NSW47" s="987"/>
      <c r="NSX47" s="987"/>
      <c r="NSY47" s="987"/>
      <c r="NSZ47" s="987"/>
      <c r="NTA47" s="987"/>
      <c r="NTB47" s="987"/>
      <c r="NTC47" s="987"/>
      <c r="NTD47" s="987"/>
      <c r="NTE47" s="987"/>
      <c r="NTF47" s="987"/>
      <c r="NTG47" s="987"/>
      <c r="NTH47" s="987"/>
      <c r="NTI47" s="987"/>
      <c r="NTJ47" s="987"/>
      <c r="NTK47" s="987"/>
      <c r="NTL47" s="987"/>
      <c r="NTM47" s="987"/>
      <c r="NTN47" s="987"/>
      <c r="NTO47" s="987"/>
      <c r="NTP47" s="987"/>
      <c r="NTQ47" s="987"/>
      <c r="NTR47" s="987"/>
      <c r="NTS47" s="987"/>
      <c r="NTT47" s="987"/>
      <c r="NTU47" s="987"/>
      <c r="NTV47" s="987"/>
      <c r="NTW47" s="987"/>
      <c r="NTX47" s="987"/>
      <c r="NTY47" s="987"/>
      <c r="NTZ47" s="987"/>
      <c r="NUA47" s="987"/>
      <c r="NUB47" s="987"/>
      <c r="NUC47" s="987"/>
      <c r="NUD47" s="987"/>
      <c r="NUE47" s="987"/>
      <c r="NUF47" s="987"/>
      <c r="NUG47" s="987"/>
      <c r="NUH47" s="987"/>
      <c r="NUI47" s="987"/>
      <c r="NUJ47" s="987"/>
      <c r="NUK47" s="987"/>
      <c r="NUL47" s="987"/>
      <c r="NUM47" s="987"/>
      <c r="NUN47" s="987"/>
      <c r="NUO47" s="987"/>
      <c r="NUP47" s="987"/>
      <c r="NUQ47" s="987"/>
      <c r="NUR47" s="987"/>
      <c r="NUS47" s="987"/>
      <c r="NUT47" s="987"/>
      <c r="NUU47" s="987"/>
      <c r="NUV47" s="987"/>
      <c r="NUW47" s="987"/>
      <c r="NUX47" s="987"/>
      <c r="NUY47" s="987"/>
      <c r="NUZ47" s="987"/>
      <c r="NVA47" s="987"/>
      <c r="NVB47" s="987"/>
      <c r="NVC47" s="987"/>
      <c r="NVD47" s="987"/>
      <c r="NVE47" s="987"/>
      <c r="NVF47" s="987"/>
      <c r="NVG47" s="987"/>
      <c r="NVH47" s="987"/>
      <c r="NVI47" s="987"/>
      <c r="NVJ47" s="987"/>
      <c r="NVK47" s="987"/>
      <c r="NVL47" s="987"/>
      <c r="NVM47" s="987"/>
      <c r="NVN47" s="987"/>
      <c r="NVO47" s="987"/>
      <c r="NVP47" s="987"/>
      <c r="NVQ47" s="987"/>
      <c r="NVR47" s="987"/>
      <c r="NVS47" s="987"/>
      <c r="NVT47" s="987"/>
      <c r="NVU47" s="987"/>
      <c r="NVV47" s="987"/>
      <c r="NVW47" s="987"/>
      <c r="NVX47" s="987"/>
      <c r="NVY47" s="987"/>
      <c r="NVZ47" s="987"/>
      <c r="NWA47" s="987"/>
      <c r="NWB47" s="987"/>
      <c r="NWC47" s="987"/>
      <c r="NWD47" s="987"/>
      <c r="NWE47" s="987"/>
      <c r="NWF47" s="987"/>
      <c r="NWG47" s="987"/>
      <c r="NWH47" s="987"/>
      <c r="NWI47" s="987"/>
      <c r="NWJ47" s="987"/>
      <c r="NWK47" s="987"/>
      <c r="NWL47" s="987"/>
      <c r="NWM47" s="987"/>
      <c r="NWN47" s="987"/>
      <c r="NWO47" s="987"/>
      <c r="NWP47" s="987"/>
      <c r="NWQ47" s="987"/>
      <c r="NWR47" s="987"/>
      <c r="NWS47" s="987"/>
      <c r="NWT47" s="987"/>
      <c r="NWU47" s="987"/>
      <c r="NWV47" s="987"/>
      <c r="NWW47" s="987"/>
      <c r="NWX47" s="987"/>
      <c r="NWY47" s="987"/>
      <c r="NWZ47" s="987"/>
      <c r="NXA47" s="987"/>
      <c r="NXB47" s="987"/>
      <c r="NXC47" s="987"/>
      <c r="NXD47" s="987"/>
      <c r="NXE47" s="987"/>
      <c r="NXF47" s="987"/>
      <c r="NXG47" s="987"/>
      <c r="NXH47" s="987"/>
      <c r="NXI47" s="987"/>
      <c r="NXJ47" s="987"/>
      <c r="NXK47" s="987"/>
      <c r="NXL47" s="987"/>
      <c r="NXM47" s="987"/>
      <c r="NXN47" s="987"/>
      <c r="NXO47" s="987"/>
      <c r="NXP47" s="987"/>
      <c r="NXQ47" s="987"/>
      <c r="NXR47" s="987"/>
      <c r="NXS47" s="987"/>
      <c r="NXT47" s="987"/>
      <c r="NXU47" s="987"/>
      <c r="NXV47" s="987"/>
      <c r="NXW47" s="987"/>
      <c r="NXX47" s="987"/>
      <c r="NXY47" s="987"/>
      <c r="NXZ47" s="987"/>
      <c r="NYA47" s="987"/>
      <c r="NYB47" s="987"/>
      <c r="NYC47" s="987"/>
      <c r="NYD47" s="987"/>
      <c r="NYE47" s="987"/>
      <c r="NYF47" s="987"/>
      <c r="NYG47" s="987"/>
      <c r="NYH47" s="987"/>
      <c r="NYI47" s="987"/>
      <c r="NYJ47" s="987"/>
      <c r="NYK47" s="987"/>
      <c r="NYL47" s="987"/>
      <c r="NYM47" s="987"/>
      <c r="NYN47" s="987"/>
      <c r="NYO47" s="987"/>
      <c r="NYP47" s="987"/>
      <c r="NYQ47" s="987"/>
      <c r="NYR47" s="987"/>
      <c r="NYS47" s="987"/>
      <c r="NYT47" s="987"/>
      <c r="NYU47" s="987"/>
      <c r="NYV47" s="987"/>
      <c r="NYW47" s="987"/>
      <c r="NYX47" s="987"/>
      <c r="NYY47" s="987"/>
      <c r="NYZ47" s="987"/>
      <c r="NZA47" s="987"/>
      <c r="NZB47" s="987"/>
      <c r="NZC47" s="987"/>
      <c r="NZD47" s="987"/>
      <c r="NZE47" s="987"/>
      <c r="NZF47" s="987"/>
      <c r="NZG47" s="987"/>
      <c r="NZH47" s="987"/>
      <c r="NZI47" s="987"/>
      <c r="NZJ47" s="987"/>
      <c r="NZK47" s="987"/>
      <c r="NZL47" s="987"/>
      <c r="NZM47" s="987"/>
      <c r="NZN47" s="987"/>
      <c r="NZO47" s="987"/>
      <c r="NZP47" s="987"/>
      <c r="NZQ47" s="987"/>
      <c r="NZR47" s="987"/>
      <c r="NZS47" s="987"/>
      <c r="NZT47" s="987"/>
      <c r="NZU47" s="987"/>
      <c r="NZV47" s="987"/>
      <c r="NZW47" s="987"/>
      <c r="NZX47" s="987"/>
      <c r="NZY47" s="987"/>
      <c r="NZZ47" s="987"/>
      <c r="OAA47" s="987"/>
      <c r="OAB47" s="987"/>
      <c r="OAC47" s="987"/>
      <c r="OAD47" s="987"/>
      <c r="OAE47" s="987"/>
      <c r="OAF47" s="987"/>
      <c r="OAG47" s="987"/>
      <c r="OAH47" s="987"/>
      <c r="OAI47" s="987"/>
      <c r="OAJ47" s="987"/>
      <c r="OAK47" s="987"/>
      <c r="OAL47" s="987"/>
      <c r="OAM47" s="987"/>
      <c r="OAN47" s="987"/>
      <c r="OAO47" s="987"/>
      <c r="OAP47" s="987"/>
      <c r="OAQ47" s="987"/>
      <c r="OAR47" s="987"/>
      <c r="OAS47" s="987"/>
      <c r="OAT47" s="987"/>
      <c r="OAU47" s="987"/>
      <c r="OAV47" s="987"/>
      <c r="OAW47" s="987"/>
      <c r="OAX47" s="987"/>
      <c r="OAY47" s="987"/>
      <c r="OAZ47" s="987"/>
      <c r="OBA47" s="987"/>
      <c r="OBB47" s="987"/>
      <c r="OBC47" s="987"/>
      <c r="OBD47" s="987"/>
      <c r="OBE47" s="987"/>
      <c r="OBF47" s="987"/>
      <c r="OBG47" s="987"/>
      <c r="OBH47" s="987"/>
      <c r="OBI47" s="987"/>
      <c r="OBJ47" s="987"/>
      <c r="OBK47" s="987"/>
      <c r="OBL47" s="987"/>
      <c r="OBM47" s="987"/>
      <c r="OBN47" s="987"/>
      <c r="OBO47" s="987"/>
      <c r="OBP47" s="987"/>
      <c r="OBQ47" s="987"/>
      <c r="OBR47" s="987"/>
      <c r="OBS47" s="987"/>
      <c r="OBT47" s="987"/>
      <c r="OBU47" s="987"/>
      <c r="OBV47" s="987"/>
      <c r="OBW47" s="987"/>
      <c r="OBX47" s="987"/>
      <c r="OBY47" s="987"/>
      <c r="OBZ47" s="987"/>
      <c r="OCA47" s="987"/>
      <c r="OCB47" s="987"/>
      <c r="OCC47" s="987"/>
      <c r="OCD47" s="987"/>
      <c r="OCE47" s="987"/>
      <c r="OCF47" s="987"/>
      <c r="OCG47" s="987"/>
      <c r="OCH47" s="987"/>
      <c r="OCI47" s="987"/>
      <c r="OCJ47" s="987"/>
      <c r="OCK47" s="987"/>
      <c r="OCL47" s="987"/>
      <c r="OCM47" s="987"/>
      <c r="OCN47" s="987"/>
      <c r="OCO47" s="987"/>
      <c r="OCP47" s="987"/>
      <c r="OCQ47" s="987"/>
      <c r="OCR47" s="987"/>
      <c r="OCS47" s="987"/>
      <c r="OCT47" s="987"/>
      <c r="OCU47" s="987"/>
      <c r="OCV47" s="987"/>
      <c r="OCW47" s="987"/>
      <c r="OCX47" s="987"/>
      <c r="OCY47" s="987"/>
      <c r="OCZ47" s="987"/>
      <c r="ODA47" s="987"/>
      <c r="ODB47" s="987"/>
      <c r="ODC47" s="987"/>
      <c r="ODD47" s="987"/>
      <c r="ODE47" s="987"/>
      <c r="ODF47" s="987"/>
      <c r="ODG47" s="987"/>
      <c r="ODH47" s="987"/>
      <c r="ODI47" s="987"/>
      <c r="ODJ47" s="987"/>
      <c r="ODK47" s="987"/>
      <c r="ODL47" s="987"/>
      <c r="ODM47" s="987"/>
      <c r="ODN47" s="987"/>
      <c r="ODO47" s="987"/>
      <c r="ODP47" s="987"/>
      <c r="ODQ47" s="987"/>
      <c r="ODR47" s="987"/>
      <c r="ODS47" s="987"/>
      <c r="ODT47" s="987"/>
      <c r="ODU47" s="987"/>
      <c r="ODV47" s="987"/>
      <c r="ODW47" s="987"/>
      <c r="ODX47" s="987"/>
      <c r="ODY47" s="987"/>
      <c r="ODZ47" s="987"/>
      <c r="OEA47" s="987"/>
      <c r="OEB47" s="987"/>
      <c r="OEC47" s="987"/>
      <c r="OED47" s="987"/>
      <c r="OEE47" s="987"/>
      <c r="OEF47" s="987"/>
      <c r="OEG47" s="987"/>
      <c r="OEH47" s="987"/>
      <c r="OEI47" s="987"/>
      <c r="OEJ47" s="987"/>
      <c r="OEK47" s="987"/>
      <c r="OEL47" s="987"/>
      <c r="OEM47" s="987"/>
      <c r="OEN47" s="987"/>
      <c r="OEO47" s="987"/>
      <c r="OEP47" s="987"/>
      <c r="OEQ47" s="987"/>
      <c r="OER47" s="987"/>
      <c r="OES47" s="987"/>
      <c r="OET47" s="987"/>
      <c r="OEU47" s="987"/>
      <c r="OEV47" s="987"/>
      <c r="OEW47" s="987"/>
      <c r="OEX47" s="987"/>
      <c r="OEY47" s="987"/>
      <c r="OEZ47" s="987"/>
      <c r="OFA47" s="987"/>
      <c r="OFB47" s="987"/>
      <c r="OFC47" s="987"/>
      <c r="OFD47" s="987"/>
      <c r="OFE47" s="987"/>
      <c r="OFF47" s="987"/>
      <c r="OFG47" s="987"/>
      <c r="OFH47" s="987"/>
      <c r="OFI47" s="987"/>
      <c r="OFJ47" s="987"/>
      <c r="OFK47" s="987"/>
      <c r="OFL47" s="987"/>
      <c r="OFM47" s="987"/>
      <c r="OFN47" s="987"/>
      <c r="OFO47" s="987"/>
      <c r="OFP47" s="987"/>
      <c r="OFQ47" s="987"/>
      <c r="OFR47" s="987"/>
      <c r="OFS47" s="987"/>
      <c r="OFT47" s="987"/>
      <c r="OFU47" s="987"/>
      <c r="OFV47" s="987"/>
      <c r="OFW47" s="987"/>
      <c r="OFX47" s="987"/>
      <c r="OFY47" s="987"/>
      <c r="OFZ47" s="987"/>
      <c r="OGA47" s="987"/>
      <c r="OGB47" s="987"/>
      <c r="OGC47" s="987"/>
      <c r="OGD47" s="987"/>
      <c r="OGE47" s="987"/>
      <c r="OGF47" s="987"/>
      <c r="OGG47" s="987"/>
      <c r="OGH47" s="987"/>
      <c r="OGI47" s="987"/>
      <c r="OGJ47" s="987"/>
      <c r="OGK47" s="987"/>
      <c r="OGL47" s="987"/>
      <c r="OGM47" s="987"/>
      <c r="OGN47" s="987"/>
      <c r="OGO47" s="987"/>
      <c r="OGP47" s="987"/>
      <c r="OGQ47" s="987"/>
      <c r="OGR47" s="987"/>
      <c r="OGS47" s="987"/>
      <c r="OGT47" s="987"/>
      <c r="OGU47" s="987"/>
      <c r="OGV47" s="987"/>
      <c r="OGW47" s="987"/>
      <c r="OGX47" s="987"/>
      <c r="OGY47" s="987"/>
      <c r="OGZ47" s="987"/>
      <c r="OHA47" s="987"/>
      <c r="OHB47" s="987"/>
      <c r="OHC47" s="987"/>
      <c r="OHD47" s="987"/>
      <c r="OHE47" s="987"/>
      <c r="OHF47" s="987"/>
      <c r="OHG47" s="987"/>
      <c r="OHH47" s="987"/>
      <c r="OHI47" s="987"/>
      <c r="OHJ47" s="987"/>
      <c r="OHK47" s="987"/>
      <c r="OHL47" s="987"/>
      <c r="OHM47" s="987"/>
      <c r="OHN47" s="987"/>
      <c r="OHO47" s="987"/>
      <c r="OHP47" s="987"/>
      <c r="OHQ47" s="987"/>
      <c r="OHR47" s="987"/>
      <c r="OHS47" s="987"/>
      <c r="OHT47" s="987"/>
      <c r="OHU47" s="987"/>
      <c r="OHV47" s="987"/>
      <c r="OHW47" s="987"/>
      <c r="OHX47" s="987"/>
      <c r="OHY47" s="987"/>
      <c r="OHZ47" s="987"/>
      <c r="OIA47" s="987"/>
      <c r="OIB47" s="987"/>
      <c r="OIC47" s="987"/>
      <c r="OID47" s="987"/>
      <c r="OIE47" s="987"/>
      <c r="OIF47" s="987"/>
      <c r="OIG47" s="987"/>
      <c r="OIH47" s="987"/>
      <c r="OII47" s="987"/>
      <c r="OIJ47" s="987"/>
      <c r="OIK47" s="987"/>
      <c r="OIL47" s="987"/>
      <c r="OIM47" s="987"/>
      <c r="OIN47" s="987"/>
      <c r="OIO47" s="987"/>
      <c r="OIP47" s="987"/>
      <c r="OIQ47" s="987"/>
      <c r="OIR47" s="987"/>
      <c r="OIS47" s="987"/>
      <c r="OIT47" s="987"/>
      <c r="OIU47" s="987"/>
      <c r="OIV47" s="987"/>
      <c r="OIW47" s="987"/>
      <c r="OIX47" s="987"/>
      <c r="OIY47" s="987"/>
      <c r="OIZ47" s="987"/>
      <c r="OJA47" s="987"/>
      <c r="OJB47" s="987"/>
      <c r="OJC47" s="987"/>
      <c r="OJD47" s="987"/>
      <c r="OJE47" s="987"/>
      <c r="OJF47" s="987"/>
      <c r="OJG47" s="987"/>
      <c r="OJH47" s="987"/>
      <c r="OJI47" s="987"/>
      <c r="OJJ47" s="987"/>
      <c r="OJK47" s="987"/>
      <c r="OJL47" s="987"/>
      <c r="OJM47" s="987"/>
      <c r="OJN47" s="987"/>
      <c r="OJO47" s="987"/>
      <c r="OJP47" s="987"/>
      <c r="OJQ47" s="987"/>
      <c r="OJR47" s="987"/>
      <c r="OJS47" s="987"/>
      <c r="OJT47" s="987"/>
      <c r="OJU47" s="987"/>
      <c r="OJV47" s="987"/>
      <c r="OJW47" s="987"/>
      <c r="OJX47" s="987"/>
      <c r="OJY47" s="987"/>
      <c r="OJZ47" s="987"/>
      <c r="OKA47" s="987"/>
      <c r="OKB47" s="987"/>
      <c r="OKC47" s="987"/>
      <c r="OKD47" s="987"/>
      <c r="OKE47" s="987"/>
      <c r="OKF47" s="987"/>
      <c r="OKG47" s="987"/>
      <c r="OKH47" s="987"/>
      <c r="OKI47" s="987"/>
      <c r="OKJ47" s="987"/>
      <c r="OKK47" s="987"/>
      <c r="OKL47" s="987"/>
      <c r="OKM47" s="987"/>
      <c r="OKN47" s="987"/>
      <c r="OKO47" s="987"/>
      <c r="OKP47" s="987"/>
      <c r="OKQ47" s="987"/>
      <c r="OKR47" s="987"/>
      <c r="OKS47" s="987"/>
      <c r="OKT47" s="987"/>
      <c r="OKU47" s="987"/>
      <c r="OKV47" s="987"/>
      <c r="OKW47" s="987"/>
      <c r="OKX47" s="987"/>
      <c r="OKY47" s="987"/>
      <c r="OKZ47" s="987"/>
      <c r="OLA47" s="987"/>
      <c r="OLB47" s="987"/>
      <c r="OLC47" s="987"/>
      <c r="OLD47" s="987"/>
      <c r="OLE47" s="987"/>
      <c r="OLF47" s="987"/>
      <c r="OLG47" s="987"/>
      <c r="OLH47" s="987"/>
      <c r="OLI47" s="987"/>
      <c r="OLJ47" s="987"/>
      <c r="OLK47" s="987"/>
      <c r="OLL47" s="987"/>
      <c r="OLM47" s="987"/>
      <c r="OLN47" s="987"/>
      <c r="OLO47" s="987"/>
      <c r="OLP47" s="987"/>
      <c r="OLQ47" s="987"/>
      <c r="OLR47" s="987"/>
      <c r="OLS47" s="987"/>
      <c r="OLT47" s="987"/>
      <c r="OLU47" s="987"/>
      <c r="OLV47" s="987"/>
      <c r="OLW47" s="987"/>
      <c r="OLX47" s="987"/>
      <c r="OLY47" s="987"/>
      <c r="OLZ47" s="987"/>
      <c r="OMA47" s="987"/>
      <c r="OMB47" s="987"/>
      <c r="OMC47" s="987"/>
      <c r="OMD47" s="987"/>
      <c r="OME47" s="987"/>
      <c r="OMF47" s="987"/>
      <c r="OMG47" s="987"/>
      <c r="OMH47" s="987"/>
      <c r="OMI47" s="987"/>
      <c r="OMJ47" s="987"/>
      <c r="OMK47" s="987"/>
      <c r="OML47" s="987"/>
      <c r="OMM47" s="987"/>
      <c r="OMN47" s="987"/>
      <c r="OMO47" s="987"/>
      <c r="OMP47" s="987"/>
      <c r="OMQ47" s="987"/>
      <c r="OMR47" s="987"/>
      <c r="OMS47" s="987"/>
      <c r="OMT47" s="987"/>
      <c r="OMU47" s="987"/>
      <c r="OMV47" s="987"/>
      <c r="OMW47" s="987"/>
      <c r="OMX47" s="987"/>
      <c r="OMY47" s="987"/>
      <c r="OMZ47" s="987"/>
      <c r="ONA47" s="987"/>
      <c r="ONB47" s="987"/>
      <c r="ONC47" s="987"/>
      <c r="OND47" s="987"/>
      <c r="ONE47" s="987"/>
      <c r="ONF47" s="987"/>
      <c r="ONG47" s="987"/>
      <c r="ONH47" s="987"/>
      <c r="ONI47" s="987"/>
      <c r="ONJ47" s="987"/>
      <c r="ONK47" s="987"/>
      <c r="ONL47" s="987"/>
      <c r="ONM47" s="987"/>
      <c r="ONN47" s="987"/>
      <c r="ONO47" s="987"/>
      <c r="ONP47" s="987"/>
      <c r="ONQ47" s="987"/>
      <c r="ONR47" s="987"/>
      <c r="ONS47" s="987"/>
      <c r="ONT47" s="987"/>
      <c r="ONU47" s="987"/>
      <c r="ONV47" s="987"/>
      <c r="ONW47" s="987"/>
      <c r="ONX47" s="987"/>
      <c r="ONY47" s="987"/>
      <c r="ONZ47" s="987"/>
      <c r="OOA47" s="987"/>
      <c r="OOB47" s="987"/>
      <c r="OOC47" s="987"/>
      <c r="OOD47" s="987"/>
      <c r="OOE47" s="987"/>
      <c r="OOF47" s="987"/>
      <c r="OOG47" s="987"/>
      <c r="OOH47" s="987"/>
      <c r="OOI47" s="987"/>
      <c r="OOJ47" s="987"/>
      <c r="OOK47" s="987"/>
      <c r="OOL47" s="987"/>
      <c r="OOM47" s="987"/>
      <c r="OON47" s="987"/>
      <c r="OOO47" s="987"/>
      <c r="OOP47" s="987"/>
      <c r="OOQ47" s="987"/>
      <c r="OOR47" s="987"/>
      <c r="OOS47" s="987"/>
      <c r="OOT47" s="987"/>
      <c r="OOU47" s="987"/>
      <c r="OOV47" s="987"/>
      <c r="OOW47" s="987"/>
      <c r="OOX47" s="987"/>
      <c r="OOY47" s="987"/>
      <c r="OOZ47" s="987"/>
      <c r="OPA47" s="987"/>
      <c r="OPB47" s="987"/>
      <c r="OPC47" s="987"/>
      <c r="OPD47" s="987"/>
      <c r="OPE47" s="987"/>
      <c r="OPF47" s="987"/>
      <c r="OPG47" s="987"/>
      <c r="OPH47" s="987"/>
      <c r="OPI47" s="987"/>
      <c r="OPJ47" s="987"/>
      <c r="OPK47" s="987"/>
      <c r="OPL47" s="987"/>
      <c r="OPM47" s="987"/>
      <c r="OPN47" s="987"/>
      <c r="OPO47" s="987"/>
      <c r="OPP47" s="987"/>
      <c r="OPQ47" s="987"/>
      <c r="OPR47" s="987"/>
      <c r="OPS47" s="987"/>
      <c r="OPT47" s="987"/>
      <c r="OPU47" s="987"/>
      <c r="OPV47" s="987"/>
      <c r="OPW47" s="987"/>
      <c r="OPX47" s="987"/>
      <c r="OPY47" s="987"/>
      <c r="OPZ47" s="987"/>
      <c r="OQA47" s="987"/>
      <c r="OQB47" s="987"/>
      <c r="OQC47" s="987"/>
      <c r="OQD47" s="987"/>
      <c r="OQE47" s="987"/>
      <c r="OQF47" s="987"/>
      <c r="OQG47" s="987"/>
      <c r="OQH47" s="987"/>
      <c r="OQI47" s="987"/>
      <c r="OQJ47" s="987"/>
      <c r="OQK47" s="987"/>
      <c r="OQL47" s="987"/>
      <c r="OQM47" s="987"/>
      <c r="OQN47" s="987"/>
      <c r="OQO47" s="987"/>
      <c r="OQP47" s="987"/>
      <c r="OQQ47" s="987"/>
      <c r="OQR47" s="987"/>
      <c r="OQS47" s="987"/>
      <c r="OQT47" s="987"/>
      <c r="OQU47" s="987"/>
      <c r="OQV47" s="987"/>
      <c r="OQW47" s="987"/>
      <c r="OQX47" s="987"/>
      <c r="OQY47" s="987"/>
      <c r="OQZ47" s="987"/>
      <c r="ORA47" s="987"/>
      <c r="ORB47" s="987"/>
      <c r="ORC47" s="987"/>
      <c r="ORD47" s="987"/>
      <c r="ORE47" s="987"/>
      <c r="ORF47" s="987"/>
      <c r="ORG47" s="987"/>
      <c r="ORH47" s="987"/>
      <c r="ORI47" s="987"/>
      <c r="ORJ47" s="987"/>
      <c r="ORK47" s="987"/>
      <c r="ORL47" s="987"/>
      <c r="ORM47" s="987"/>
      <c r="ORN47" s="987"/>
      <c r="ORO47" s="987"/>
      <c r="ORP47" s="987"/>
      <c r="ORQ47" s="987"/>
      <c r="ORR47" s="987"/>
      <c r="ORS47" s="987"/>
      <c r="ORT47" s="987"/>
      <c r="ORU47" s="987"/>
      <c r="ORV47" s="987"/>
      <c r="ORW47" s="987"/>
      <c r="ORX47" s="987"/>
      <c r="ORY47" s="987"/>
      <c r="ORZ47" s="987"/>
      <c r="OSA47" s="987"/>
      <c r="OSB47" s="987"/>
      <c r="OSC47" s="987"/>
      <c r="OSD47" s="987"/>
      <c r="OSE47" s="987"/>
      <c r="OSF47" s="987"/>
      <c r="OSG47" s="987"/>
      <c r="OSH47" s="987"/>
      <c r="OSI47" s="987"/>
      <c r="OSJ47" s="987"/>
      <c r="OSK47" s="987"/>
      <c r="OSL47" s="987"/>
      <c r="OSM47" s="987"/>
      <c r="OSN47" s="987"/>
      <c r="OSO47" s="987"/>
      <c r="OSP47" s="987"/>
      <c r="OSQ47" s="987"/>
      <c r="OSR47" s="987"/>
      <c r="OSS47" s="987"/>
      <c r="OST47" s="987"/>
      <c r="OSU47" s="987"/>
      <c r="OSV47" s="987"/>
      <c r="OSW47" s="987"/>
      <c r="OSX47" s="987"/>
      <c r="OSY47" s="987"/>
      <c r="OSZ47" s="987"/>
      <c r="OTA47" s="987"/>
      <c r="OTB47" s="987"/>
      <c r="OTC47" s="987"/>
      <c r="OTD47" s="987"/>
      <c r="OTE47" s="987"/>
      <c r="OTF47" s="987"/>
      <c r="OTG47" s="987"/>
      <c r="OTH47" s="987"/>
      <c r="OTI47" s="987"/>
      <c r="OTJ47" s="987"/>
      <c r="OTK47" s="987"/>
      <c r="OTL47" s="987"/>
      <c r="OTM47" s="987"/>
      <c r="OTN47" s="987"/>
      <c r="OTO47" s="987"/>
      <c r="OTP47" s="987"/>
      <c r="OTQ47" s="987"/>
      <c r="OTR47" s="987"/>
      <c r="OTS47" s="987"/>
      <c r="OTT47" s="987"/>
      <c r="OTU47" s="987"/>
      <c r="OTV47" s="987"/>
      <c r="OTW47" s="987"/>
      <c r="OTX47" s="987"/>
      <c r="OTY47" s="987"/>
      <c r="OTZ47" s="987"/>
      <c r="OUA47" s="987"/>
      <c r="OUB47" s="987"/>
      <c r="OUC47" s="987"/>
      <c r="OUD47" s="987"/>
      <c r="OUE47" s="987"/>
      <c r="OUF47" s="987"/>
      <c r="OUG47" s="987"/>
      <c r="OUH47" s="987"/>
      <c r="OUI47" s="987"/>
      <c r="OUJ47" s="987"/>
      <c r="OUK47" s="987"/>
      <c r="OUL47" s="987"/>
      <c r="OUM47" s="987"/>
      <c r="OUN47" s="987"/>
      <c r="OUO47" s="987"/>
      <c r="OUP47" s="987"/>
      <c r="OUQ47" s="987"/>
      <c r="OUR47" s="987"/>
      <c r="OUS47" s="987"/>
      <c r="OUT47" s="987"/>
      <c r="OUU47" s="987"/>
      <c r="OUV47" s="987"/>
      <c r="OUW47" s="987"/>
      <c r="OUX47" s="987"/>
      <c r="OUY47" s="987"/>
      <c r="OUZ47" s="987"/>
      <c r="OVA47" s="987"/>
      <c r="OVB47" s="987"/>
      <c r="OVC47" s="987"/>
      <c r="OVD47" s="987"/>
      <c r="OVE47" s="987"/>
      <c r="OVF47" s="987"/>
      <c r="OVG47" s="987"/>
      <c r="OVH47" s="987"/>
      <c r="OVI47" s="987"/>
      <c r="OVJ47" s="987"/>
      <c r="OVK47" s="987"/>
      <c r="OVL47" s="987"/>
      <c r="OVM47" s="987"/>
      <c r="OVN47" s="987"/>
      <c r="OVO47" s="987"/>
      <c r="OVP47" s="987"/>
      <c r="OVQ47" s="987"/>
      <c r="OVR47" s="987"/>
      <c r="OVS47" s="987"/>
      <c r="OVT47" s="987"/>
      <c r="OVU47" s="987"/>
      <c r="OVV47" s="987"/>
      <c r="OVW47" s="987"/>
      <c r="OVX47" s="987"/>
      <c r="OVY47" s="987"/>
      <c r="OVZ47" s="987"/>
      <c r="OWA47" s="987"/>
      <c r="OWB47" s="987"/>
      <c r="OWC47" s="987"/>
      <c r="OWD47" s="987"/>
      <c r="OWE47" s="987"/>
      <c r="OWF47" s="987"/>
      <c r="OWG47" s="987"/>
      <c r="OWH47" s="987"/>
      <c r="OWI47" s="987"/>
      <c r="OWJ47" s="987"/>
      <c r="OWK47" s="987"/>
      <c r="OWL47" s="987"/>
      <c r="OWM47" s="987"/>
      <c r="OWN47" s="987"/>
      <c r="OWO47" s="987"/>
      <c r="OWP47" s="987"/>
      <c r="OWQ47" s="987"/>
      <c r="OWR47" s="987"/>
      <c r="OWS47" s="987"/>
      <c r="OWT47" s="987"/>
      <c r="OWU47" s="987"/>
      <c r="OWV47" s="987"/>
      <c r="OWW47" s="987"/>
      <c r="OWX47" s="987"/>
      <c r="OWY47" s="987"/>
      <c r="OWZ47" s="987"/>
      <c r="OXA47" s="987"/>
      <c r="OXB47" s="987"/>
      <c r="OXC47" s="987"/>
      <c r="OXD47" s="987"/>
      <c r="OXE47" s="987"/>
      <c r="OXF47" s="987"/>
      <c r="OXG47" s="987"/>
      <c r="OXH47" s="987"/>
      <c r="OXI47" s="987"/>
      <c r="OXJ47" s="987"/>
      <c r="OXK47" s="987"/>
      <c r="OXL47" s="987"/>
      <c r="OXM47" s="987"/>
      <c r="OXN47" s="987"/>
      <c r="OXO47" s="987"/>
      <c r="OXP47" s="987"/>
      <c r="OXQ47" s="987"/>
      <c r="OXR47" s="987"/>
      <c r="OXS47" s="987"/>
      <c r="OXT47" s="987"/>
      <c r="OXU47" s="987"/>
      <c r="OXV47" s="987"/>
      <c r="OXW47" s="987"/>
      <c r="OXX47" s="987"/>
      <c r="OXY47" s="987"/>
      <c r="OXZ47" s="987"/>
      <c r="OYA47" s="987"/>
      <c r="OYB47" s="987"/>
      <c r="OYC47" s="987"/>
      <c r="OYD47" s="987"/>
      <c r="OYE47" s="987"/>
      <c r="OYF47" s="987"/>
      <c r="OYG47" s="987"/>
      <c r="OYH47" s="987"/>
      <c r="OYI47" s="987"/>
      <c r="OYJ47" s="987"/>
      <c r="OYK47" s="987"/>
      <c r="OYL47" s="987"/>
      <c r="OYM47" s="987"/>
      <c r="OYN47" s="987"/>
      <c r="OYO47" s="987"/>
      <c r="OYP47" s="987"/>
      <c r="OYQ47" s="987"/>
      <c r="OYR47" s="987"/>
      <c r="OYS47" s="987"/>
      <c r="OYT47" s="987"/>
      <c r="OYU47" s="987"/>
      <c r="OYV47" s="987"/>
      <c r="OYW47" s="987"/>
      <c r="OYX47" s="987"/>
      <c r="OYY47" s="987"/>
      <c r="OYZ47" s="987"/>
      <c r="OZA47" s="987"/>
      <c r="OZB47" s="987"/>
      <c r="OZC47" s="987"/>
      <c r="OZD47" s="987"/>
      <c r="OZE47" s="987"/>
      <c r="OZF47" s="987"/>
      <c r="OZG47" s="987"/>
      <c r="OZH47" s="987"/>
      <c r="OZI47" s="987"/>
      <c r="OZJ47" s="987"/>
      <c r="OZK47" s="987"/>
      <c r="OZL47" s="987"/>
      <c r="OZM47" s="987"/>
      <c r="OZN47" s="987"/>
      <c r="OZO47" s="987"/>
      <c r="OZP47" s="987"/>
      <c r="OZQ47" s="987"/>
      <c r="OZR47" s="987"/>
      <c r="OZS47" s="987"/>
      <c r="OZT47" s="987"/>
      <c r="OZU47" s="987"/>
      <c r="OZV47" s="987"/>
      <c r="OZW47" s="987"/>
      <c r="OZX47" s="987"/>
      <c r="OZY47" s="987"/>
      <c r="OZZ47" s="987"/>
      <c r="PAA47" s="987"/>
      <c r="PAB47" s="987"/>
      <c r="PAC47" s="987"/>
      <c r="PAD47" s="987"/>
      <c r="PAE47" s="987"/>
      <c r="PAF47" s="987"/>
      <c r="PAG47" s="987"/>
      <c r="PAH47" s="987"/>
      <c r="PAI47" s="987"/>
      <c r="PAJ47" s="987"/>
      <c r="PAK47" s="987"/>
      <c r="PAL47" s="987"/>
      <c r="PAM47" s="987"/>
      <c r="PAN47" s="987"/>
      <c r="PAO47" s="987"/>
      <c r="PAP47" s="987"/>
      <c r="PAQ47" s="987"/>
      <c r="PAR47" s="987"/>
      <c r="PAS47" s="987"/>
      <c r="PAT47" s="987"/>
      <c r="PAU47" s="987"/>
      <c r="PAV47" s="987"/>
      <c r="PAW47" s="987"/>
      <c r="PAX47" s="987"/>
      <c r="PAY47" s="987"/>
      <c r="PAZ47" s="987"/>
      <c r="PBA47" s="987"/>
      <c r="PBB47" s="987"/>
      <c r="PBC47" s="987"/>
      <c r="PBD47" s="987"/>
      <c r="PBE47" s="987"/>
      <c r="PBF47" s="987"/>
      <c r="PBG47" s="987"/>
      <c r="PBH47" s="987"/>
      <c r="PBI47" s="987"/>
      <c r="PBJ47" s="987"/>
      <c r="PBK47" s="987"/>
      <c r="PBL47" s="987"/>
      <c r="PBM47" s="987"/>
      <c r="PBN47" s="987"/>
      <c r="PBO47" s="987"/>
      <c r="PBP47" s="987"/>
      <c r="PBQ47" s="987"/>
      <c r="PBR47" s="987"/>
      <c r="PBS47" s="987"/>
      <c r="PBT47" s="987"/>
      <c r="PBU47" s="987"/>
      <c r="PBV47" s="987"/>
      <c r="PBW47" s="987"/>
      <c r="PBX47" s="987"/>
      <c r="PBY47" s="987"/>
      <c r="PBZ47" s="987"/>
      <c r="PCA47" s="987"/>
      <c r="PCB47" s="987"/>
      <c r="PCC47" s="987"/>
      <c r="PCD47" s="987"/>
      <c r="PCE47" s="987"/>
      <c r="PCF47" s="987"/>
      <c r="PCG47" s="987"/>
      <c r="PCH47" s="987"/>
      <c r="PCI47" s="987"/>
      <c r="PCJ47" s="987"/>
      <c r="PCK47" s="987"/>
      <c r="PCL47" s="987"/>
      <c r="PCM47" s="987"/>
      <c r="PCN47" s="987"/>
      <c r="PCO47" s="987"/>
      <c r="PCP47" s="987"/>
      <c r="PCQ47" s="987"/>
      <c r="PCR47" s="987"/>
      <c r="PCS47" s="987"/>
      <c r="PCT47" s="987"/>
      <c r="PCU47" s="987"/>
      <c r="PCV47" s="987"/>
      <c r="PCW47" s="987"/>
      <c r="PCX47" s="987"/>
      <c r="PCY47" s="987"/>
      <c r="PCZ47" s="987"/>
      <c r="PDA47" s="987"/>
      <c r="PDB47" s="987"/>
      <c r="PDC47" s="987"/>
      <c r="PDD47" s="987"/>
      <c r="PDE47" s="987"/>
      <c r="PDF47" s="987"/>
      <c r="PDG47" s="987"/>
      <c r="PDH47" s="987"/>
      <c r="PDI47" s="987"/>
      <c r="PDJ47" s="987"/>
      <c r="PDK47" s="987"/>
      <c r="PDL47" s="987"/>
      <c r="PDM47" s="987"/>
      <c r="PDN47" s="987"/>
      <c r="PDO47" s="987"/>
      <c r="PDP47" s="987"/>
      <c r="PDQ47" s="987"/>
      <c r="PDR47" s="987"/>
      <c r="PDS47" s="987"/>
      <c r="PDT47" s="987"/>
      <c r="PDU47" s="987"/>
      <c r="PDV47" s="987"/>
      <c r="PDW47" s="987"/>
      <c r="PDX47" s="987"/>
      <c r="PDY47" s="987"/>
      <c r="PDZ47" s="987"/>
      <c r="PEA47" s="987"/>
      <c r="PEB47" s="987"/>
      <c r="PEC47" s="987"/>
      <c r="PED47" s="987"/>
      <c r="PEE47" s="987"/>
      <c r="PEF47" s="987"/>
      <c r="PEG47" s="987"/>
      <c r="PEH47" s="987"/>
      <c r="PEI47" s="987"/>
      <c r="PEJ47" s="987"/>
      <c r="PEK47" s="987"/>
      <c r="PEL47" s="987"/>
      <c r="PEM47" s="987"/>
      <c r="PEN47" s="987"/>
      <c r="PEO47" s="987"/>
      <c r="PEP47" s="987"/>
      <c r="PEQ47" s="987"/>
      <c r="PER47" s="987"/>
      <c r="PES47" s="987"/>
      <c r="PET47" s="987"/>
      <c r="PEU47" s="987"/>
      <c r="PEV47" s="987"/>
      <c r="PEW47" s="987"/>
      <c r="PEX47" s="987"/>
      <c r="PEY47" s="987"/>
      <c r="PEZ47" s="987"/>
      <c r="PFA47" s="987"/>
      <c r="PFB47" s="987"/>
      <c r="PFC47" s="987"/>
      <c r="PFD47" s="987"/>
      <c r="PFE47" s="987"/>
      <c r="PFF47" s="987"/>
      <c r="PFG47" s="987"/>
      <c r="PFH47" s="987"/>
      <c r="PFI47" s="987"/>
      <c r="PFJ47" s="987"/>
      <c r="PFK47" s="987"/>
      <c r="PFL47" s="987"/>
      <c r="PFM47" s="987"/>
      <c r="PFN47" s="987"/>
      <c r="PFO47" s="987"/>
      <c r="PFP47" s="987"/>
      <c r="PFQ47" s="987"/>
      <c r="PFR47" s="987"/>
      <c r="PFS47" s="987"/>
      <c r="PFT47" s="987"/>
      <c r="PFU47" s="987"/>
      <c r="PFV47" s="987"/>
      <c r="PFW47" s="987"/>
      <c r="PFX47" s="987"/>
      <c r="PFY47" s="987"/>
      <c r="PFZ47" s="987"/>
      <c r="PGA47" s="987"/>
      <c r="PGB47" s="987"/>
      <c r="PGC47" s="987"/>
      <c r="PGD47" s="987"/>
      <c r="PGE47" s="987"/>
      <c r="PGF47" s="987"/>
      <c r="PGG47" s="987"/>
      <c r="PGH47" s="987"/>
      <c r="PGI47" s="987"/>
      <c r="PGJ47" s="987"/>
      <c r="PGK47" s="987"/>
      <c r="PGL47" s="987"/>
      <c r="PGM47" s="987"/>
      <c r="PGN47" s="987"/>
      <c r="PGO47" s="987"/>
      <c r="PGP47" s="987"/>
      <c r="PGQ47" s="987"/>
      <c r="PGR47" s="987"/>
      <c r="PGS47" s="987"/>
      <c r="PGT47" s="987"/>
      <c r="PGU47" s="987"/>
      <c r="PGV47" s="987"/>
      <c r="PGW47" s="987"/>
      <c r="PGX47" s="987"/>
      <c r="PGY47" s="987"/>
      <c r="PGZ47" s="987"/>
      <c r="PHA47" s="987"/>
      <c r="PHB47" s="987"/>
      <c r="PHC47" s="987"/>
      <c r="PHD47" s="987"/>
      <c r="PHE47" s="987"/>
      <c r="PHF47" s="987"/>
      <c r="PHG47" s="987"/>
      <c r="PHH47" s="987"/>
      <c r="PHI47" s="987"/>
      <c r="PHJ47" s="987"/>
      <c r="PHK47" s="987"/>
      <c r="PHL47" s="987"/>
      <c r="PHM47" s="987"/>
      <c r="PHN47" s="987"/>
      <c r="PHO47" s="987"/>
      <c r="PHP47" s="987"/>
      <c r="PHQ47" s="987"/>
      <c r="PHR47" s="987"/>
      <c r="PHS47" s="987"/>
      <c r="PHT47" s="987"/>
      <c r="PHU47" s="987"/>
      <c r="PHV47" s="987"/>
      <c r="PHW47" s="987"/>
      <c r="PHX47" s="987"/>
      <c r="PHY47" s="987"/>
      <c r="PHZ47" s="987"/>
      <c r="PIA47" s="987"/>
      <c r="PIB47" s="987"/>
      <c r="PIC47" s="987"/>
      <c r="PID47" s="987"/>
      <c r="PIE47" s="987"/>
      <c r="PIF47" s="987"/>
      <c r="PIG47" s="987"/>
      <c r="PIH47" s="987"/>
      <c r="PII47" s="987"/>
      <c r="PIJ47" s="987"/>
      <c r="PIK47" s="987"/>
      <c r="PIL47" s="987"/>
      <c r="PIM47" s="987"/>
      <c r="PIN47" s="987"/>
      <c r="PIO47" s="987"/>
      <c r="PIP47" s="987"/>
      <c r="PIQ47" s="987"/>
      <c r="PIR47" s="987"/>
      <c r="PIS47" s="987"/>
      <c r="PIT47" s="987"/>
      <c r="PIU47" s="987"/>
      <c r="PIV47" s="987"/>
      <c r="PIW47" s="987"/>
      <c r="PIX47" s="987"/>
      <c r="PIY47" s="987"/>
      <c r="PIZ47" s="987"/>
      <c r="PJA47" s="987"/>
      <c r="PJB47" s="987"/>
      <c r="PJC47" s="987"/>
      <c r="PJD47" s="987"/>
      <c r="PJE47" s="987"/>
      <c r="PJF47" s="987"/>
      <c r="PJG47" s="987"/>
      <c r="PJH47" s="987"/>
      <c r="PJI47" s="987"/>
      <c r="PJJ47" s="987"/>
      <c r="PJK47" s="987"/>
      <c r="PJL47" s="987"/>
      <c r="PJM47" s="987"/>
      <c r="PJN47" s="987"/>
      <c r="PJO47" s="987"/>
      <c r="PJP47" s="987"/>
      <c r="PJQ47" s="987"/>
      <c r="PJR47" s="987"/>
      <c r="PJS47" s="987"/>
      <c r="PJT47" s="987"/>
      <c r="PJU47" s="987"/>
      <c r="PJV47" s="987"/>
      <c r="PJW47" s="987"/>
      <c r="PJX47" s="987"/>
      <c r="PJY47" s="987"/>
      <c r="PJZ47" s="987"/>
      <c r="PKA47" s="987"/>
      <c r="PKB47" s="987"/>
      <c r="PKC47" s="987"/>
      <c r="PKD47" s="987"/>
      <c r="PKE47" s="987"/>
      <c r="PKF47" s="987"/>
      <c r="PKG47" s="987"/>
      <c r="PKH47" s="987"/>
      <c r="PKI47" s="987"/>
      <c r="PKJ47" s="987"/>
      <c r="PKK47" s="987"/>
      <c r="PKL47" s="987"/>
      <c r="PKM47" s="987"/>
      <c r="PKN47" s="987"/>
      <c r="PKO47" s="987"/>
      <c r="PKP47" s="987"/>
      <c r="PKQ47" s="987"/>
      <c r="PKR47" s="987"/>
      <c r="PKS47" s="987"/>
      <c r="PKT47" s="987"/>
      <c r="PKU47" s="987"/>
      <c r="PKV47" s="987"/>
      <c r="PKW47" s="987"/>
      <c r="PKX47" s="987"/>
      <c r="PKY47" s="987"/>
      <c r="PKZ47" s="987"/>
      <c r="PLA47" s="987"/>
      <c r="PLB47" s="987"/>
      <c r="PLC47" s="987"/>
      <c r="PLD47" s="987"/>
      <c r="PLE47" s="987"/>
      <c r="PLF47" s="987"/>
      <c r="PLG47" s="987"/>
      <c r="PLH47" s="987"/>
      <c r="PLI47" s="987"/>
      <c r="PLJ47" s="987"/>
      <c r="PLK47" s="987"/>
      <c r="PLL47" s="987"/>
      <c r="PLM47" s="987"/>
      <c r="PLN47" s="987"/>
      <c r="PLO47" s="987"/>
      <c r="PLP47" s="987"/>
      <c r="PLQ47" s="987"/>
      <c r="PLR47" s="987"/>
      <c r="PLS47" s="987"/>
      <c r="PLT47" s="987"/>
      <c r="PLU47" s="987"/>
      <c r="PLV47" s="987"/>
      <c r="PLW47" s="987"/>
      <c r="PLX47" s="987"/>
      <c r="PLY47" s="987"/>
      <c r="PLZ47" s="987"/>
      <c r="PMA47" s="987"/>
      <c r="PMB47" s="987"/>
      <c r="PMC47" s="987"/>
      <c r="PMD47" s="987"/>
      <c r="PME47" s="987"/>
      <c r="PMF47" s="987"/>
      <c r="PMG47" s="987"/>
      <c r="PMH47" s="987"/>
      <c r="PMI47" s="987"/>
      <c r="PMJ47" s="987"/>
      <c r="PMK47" s="987"/>
      <c r="PML47" s="987"/>
      <c r="PMM47" s="987"/>
      <c r="PMN47" s="987"/>
      <c r="PMO47" s="987"/>
      <c r="PMP47" s="987"/>
      <c r="PMQ47" s="987"/>
      <c r="PMR47" s="987"/>
      <c r="PMS47" s="987"/>
      <c r="PMT47" s="987"/>
      <c r="PMU47" s="987"/>
      <c r="PMV47" s="987"/>
      <c r="PMW47" s="987"/>
      <c r="PMX47" s="987"/>
      <c r="PMY47" s="987"/>
      <c r="PMZ47" s="987"/>
      <c r="PNA47" s="987"/>
      <c r="PNB47" s="987"/>
      <c r="PNC47" s="987"/>
      <c r="PND47" s="987"/>
      <c r="PNE47" s="987"/>
      <c r="PNF47" s="987"/>
      <c r="PNG47" s="987"/>
      <c r="PNH47" s="987"/>
      <c r="PNI47" s="987"/>
      <c r="PNJ47" s="987"/>
      <c r="PNK47" s="987"/>
      <c r="PNL47" s="987"/>
      <c r="PNM47" s="987"/>
      <c r="PNN47" s="987"/>
      <c r="PNO47" s="987"/>
      <c r="PNP47" s="987"/>
      <c r="PNQ47" s="987"/>
      <c r="PNR47" s="987"/>
      <c r="PNS47" s="987"/>
      <c r="PNT47" s="987"/>
      <c r="PNU47" s="987"/>
      <c r="PNV47" s="987"/>
      <c r="PNW47" s="987"/>
      <c r="PNX47" s="987"/>
      <c r="PNY47" s="987"/>
      <c r="PNZ47" s="987"/>
      <c r="POA47" s="987"/>
      <c r="POB47" s="987"/>
      <c r="POC47" s="987"/>
      <c r="POD47" s="987"/>
      <c r="POE47" s="987"/>
      <c r="POF47" s="987"/>
      <c r="POG47" s="987"/>
      <c r="POH47" s="987"/>
      <c r="POI47" s="987"/>
      <c r="POJ47" s="987"/>
      <c r="POK47" s="987"/>
      <c r="POL47" s="987"/>
      <c r="POM47" s="987"/>
      <c r="PON47" s="987"/>
      <c r="POO47" s="987"/>
      <c r="POP47" s="987"/>
      <c r="POQ47" s="987"/>
      <c r="POR47" s="987"/>
      <c r="POS47" s="987"/>
      <c r="POT47" s="987"/>
      <c r="POU47" s="987"/>
      <c r="POV47" s="987"/>
      <c r="POW47" s="987"/>
      <c r="POX47" s="987"/>
      <c r="POY47" s="987"/>
      <c r="POZ47" s="987"/>
      <c r="PPA47" s="987"/>
      <c r="PPB47" s="987"/>
      <c r="PPC47" s="987"/>
      <c r="PPD47" s="987"/>
      <c r="PPE47" s="987"/>
      <c r="PPF47" s="987"/>
      <c r="PPG47" s="987"/>
      <c r="PPH47" s="987"/>
      <c r="PPI47" s="987"/>
      <c r="PPJ47" s="987"/>
      <c r="PPK47" s="987"/>
      <c r="PPL47" s="987"/>
      <c r="PPM47" s="987"/>
      <c r="PPN47" s="987"/>
      <c r="PPO47" s="987"/>
      <c r="PPP47" s="987"/>
      <c r="PPQ47" s="987"/>
      <c r="PPR47" s="987"/>
      <c r="PPS47" s="987"/>
      <c r="PPT47" s="987"/>
      <c r="PPU47" s="987"/>
      <c r="PPV47" s="987"/>
      <c r="PPW47" s="987"/>
      <c r="PPX47" s="987"/>
      <c r="PPY47" s="987"/>
      <c r="PPZ47" s="987"/>
      <c r="PQA47" s="987"/>
      <c r="PQB47" s="987"/>
      <c r="PQC47" s="987"/>
      <c r="PQD47" s="987"/>
      <c r="PQE47" s="987"/>
      <c r="PQF47" s="987"/>
      <c r="PQG47" s="987"/>
      <c r="PQH47" s="987"/>
      <c r="PQI47" s="987"/>
      <c r="PQJ47" s="987"/>
      <c r="PQK47" s="987"/>
      <c r="PQL47" s="987"/>
      <c r="PQM47" s="987"/>
      <c r="PQN47" s="987"/>
      <c r="PQO47" s="987"/>
      <c r="PQP47" s="987"/>
      <c r="PQQ47" s="987"/>
      <c r="PQR47" s="987"/>
      <c r="PQS47" s="987"/>
      <c r="PQT47" s="987"/>
      <c r="PQU47" s="987"/>
      <c r="PQV47" s="987"/>
      <c r="PQW47" s="987"/>
      <c r="PQX47" s="987"/>
      <c r="PQY47" s="987"/>
      <c r="PQZ47" s="987"/>
      <c r="PRA47" s="987"/>
      <c r="PRB47" s="987"/>
      <c r="PRC47" s="987"/>
      <c r="PRD47" s="987"/>
      <c r="PRE47" s="987"/>
      <c r="PRF47" s="987"/>
      <c r="PRG47" s="987"/>
      <c r="PRH47" s="987"/>
      <c r="PRI47" s="987"/>
      <c r="PRJ47" s="987"/>
      <c r="PRK47" s="987"/>
      <c r="PRL47" s="987"/>
      <c r="PRM47" s="987"/>
      <c r="PRN47" s="987"/>
      <c r="PRO47" s="987"/>
      <c r="PRP47" s="987"/>
      <c r="PRQ47" s="987"/>
      <c r="PRR47" s="987"/>
      <c r="PRS47" s="987"/>
      <c r="PRT47" s="987"/>
      <c r="PRU47" s="987"/>
      <c r="PRV47" s="987"/>
      <c r="PRW47" s="987"/>
      <c r="PRX47" s="987"/>
      <c r="PRY47" s="987"/>
      <c r="PRZ47" s="987"/>
      <c r="PSA47" s="987"/>
      <c r="PSB47" s="987"/>
      <c r="PSC47" s="987"/>
      <c r="PSD47" s="987"/>
      <c r="PSE47" s="987"/>
      <c r="PSF47" s="987"/>
      <c r="PSG47" s="987"/>
      <c r="PSH47" s="987"/>
      <c r="PSI47" s="987"/>
      <c r="PSJ47" s="987"/>
      <c r="PSK47" s="987"/>
      <c r="PSL47" s="987"/>
      <c r="PSM47" s="987"/>
      <c r="PSN47" s="987"/>
      <c r="PSO47" s="987"/>
      <c r="PSP47" s="987"/>
      <c r="PSQ47" s="987"/>
      <c r="PSR47" s="987"/>
      <c r="PSS47" s="987"/>
      <c r="PST47" s="987"/>
      <c r="PSU47" s="987"/>
      <c r="PSV47" s="987"/>
      <c r="PSW47" s="987"/>
      <c r="PSX47" s="987"/>
      <c r="PSY47" s="987"/>
      <c r="PSZ47" s="987"/>
      <c r="PTA47" s="987"/>
      <c r="PTB47" s="987"/>
      <c r="PTC47" s="987"/>
      <c r="PTD47" s="987"/>
      <c r="PTE47" s="987"/>
      <c r="PTF47" s="987"/>
      <c r="PTG47" s="987"/>
      <c r="PTH47" s="987"/>
      <c r="PTI47" s="987"/>
      <c r="PTJ47" s="987"/>
      <c r="PTK47" s="987"/>
      <c r="PTL47" s="987"/>
      <c r="PTM47" s="987"/>
      <c r="PTN47" s="987"/>
      <c r="PTO47" s="987"/>
      <c r="PTP47" s="987"/>
      <c r="PTQ47" s="987"/>
      <c r="PTR47" s="987"/>
      <c r="PTS47" s="987"/>
      <c r="PTT47" s="987"/>
      <c r="PTU47" s="987"/>
      <c r="PTV47" s="987"/>
      <c r="PTW47" s="987"/>
      <c r="PTX47" s="987"/>
      <c r="PTY47" s="987"/>
      <c r="PTZ47" s="987"/>
      <c r="PUA47" s="987"/>
      <c r="PUB47" s="987"/>
      <c r="PUC47" s="987"/>
      <c r="PUD47" s="987"/>
      <c r="PUE47" s="987"/>
      <c r="PUF47" s="987"/>
      <c r="PUG47" s="987"/>
      <c r="PUH47" s="987"/>
      <c r="PUI47" s="987"/>
      <c r="PUJ47" s="987"/>
      <c r="PUK47" s="987"/>
      <c r="PUL47" s="987"/>
      <c r="PUM47" s="987"/>
      <c r="PUN47" s="987"/>
      <c r="PUO47" s="987"/>
      <c r="PUP47" s="987"/>
      <c r="PUQ47" s="987"/>
      <c r="PUR47" s="987"/>
      <c r="PUS47" s="987"/>
      <c r="PUT47" s="987"/>
      <c r="PUU47" s="987"/>
      <c r="PUV47" s="987"/>
      <c r="PUW47" s="987"/>
      <c r="PUX47" s="987"/>
      <c r="PUY47" s="987"/>
      <c r="PUZ47" s="987"/>
      <c r="PVA47" s="987"/>
      <c r="PVB47" s="987"/>
      <c r="PVC47" s="987"/>
      <c r="PVD47" s="987"/>
      <c r="PVE47" s="987"/>
      <c r="PVF47" s="987"/>
      <c r="PVG47" s="987"/>
      <c r="PVH47" s="987"/>
      <c r="PVI47" s="987"/>
      <c r="PVJ47" s="987"/>
      <c r="PVK47" s="987"/>
      <c r="PVL47" s="987"/>
      <c r="PVM47" s="987"/>
      <c r="PVN47" s="987"/>
      <c r="PVO47" s="987"/>
      <c r="PVP47" s="987"/>
      <c r="PVQ47" s="987"/>
      <c r="PVR47" s="987"/>
      <c r="PVS47" s="987"/>
      <c r="PVT47" s="987"/>
      <c r="PVU47" s="987"/>
      <c r="PVV47" s="987"/>
      <c r="PVW47" s="987"/>
      <c r="PVX47" s="987"/>
      <c r="PVY47" s="987"/>
      <c r="PVZ47" s="987"/>
      <c r="PWA47" s="987"/>
      <c r="PWB47" s="987"/>
      <c r="PWC47" s="987"/>
      <c r="PWD47" s="987"/>
      <c r="PWE47" s="987"/>
      <c r="PWF47" s="987"/>
      <c r="PWG47" s="987"/>
      <c r="PWH47" s="987"/>
      <c r="PWI47" s="987"/>
      <c r="PWJ47" s="987"/>
      <c r="PWK47" s="987"/>
      <c r="PWL47" s="987"/>
      <c r="PWM47" s="987"/>
      <c r="PWN47" s="987"/>
      <c r="PWO47" s="987"/>
      <c r="PWP47" s="987"/>
      <c r="PWQ47" s="987"/>
      <c r="PWR47" s="987"/>
      <c r="PWS47" s="987"/>
      <c r="PWT47" s="987"/>
      <c r="PWU47" s="987"/>
      <c r="PWV47" s="987"/>
      <c r="PWW47" s="987"/>
      <c r="PWX47" s="987"/>
      <c r="PWY47" s="987"/>
      <c r="PWZ47" s="987"/>
      <c r="PXA47" s="987"/>
      <c r="PXB47" s="987"/>
      <c r="PXC47" s="987"/>
      <c r="PXD47" s="987"/>
      <c r="PXE47" s="987"/>
      <c r="PXF47" s="987"/>
      <c r="PXG47" s="987"/>
      <c r="PXH47" s="987"/>
      <c r="PXI47" s="987"/>
      <c r="PXJ47" s="987"/>
      <c r="PXK47" s="987"/>
      <c r="PXL47" s="987"/>
      <c r="PXM47" s="987"/>
      <c r="PXN47" s="987"/>
      <c r="PXO47" s="987"/>
      <c r="PXP47" s="987"/>
      <c r="PXQ47" s="987"/>
      <c r="PXR47" s="987"/>
      <c r="PXS47" s="987"/>
      <c r="PXT47" s="987"/>
      <c r="PXU47" s="987"/>
      <c r="PXV47" s="987"/>
      <c r="PXW47" s="987"/>
      <c r="PXX47" s="987"/>
      <c r="PXY47" s="987"/>
      <c r="PXZ47" s="987"/>
      <c r="PYA47" s="987"/>
      <c r="PYB47" s="987"/>
      <c r="PYC47" s="987"/>
      <c r="PYD47" s="987"/>
      <c r="PYE47" s="987"/>
      <c r="PYF47" s="987"/>
      <c r="PYG47" s="987"/>
      <c r="PYH47" s="987"/>
      <c r="PYI47" s="987"/>
      <c r="PYJ47" s="987"/>
      <c r="PYK47" s="987"/>
      <c r="PYL47" s="987"/>
      <c r="PYM47" s="987"/>
      <c r="PYN47" s="987"/>
      <c r="PYO47" s="987"/>
      <c r="PYP47" s="987"/>
      <c r="PYQ47" s="987"/>
      <c r="PYR47" s="987"/>
      <c r="PYS47" s="987"/>
      <c r="PYT47" s="987"/>
      <c r="PYU47" s="987"/>
      <c r="PYV47" s="987"/>
      <c r="PYW47" s="987"/>
      <c r="PYX47" s="987"/>
      <c r="PYY47" s="987"/>
      <c r="PYZ47" s="987"/>
      <c r="PZA47" s="987"/>
      <c r="PZB47" s="987"/>
      <c r="PZC47" s="987"/>
      <c r="PZD47" s="987"/>
      <c r="PZE47" s="987"/>
      <c r="PZF47" s="987"/>
      <c r="PZG47" s="987"/>
      <c r="PZH47" s="987"/>
      <c r="PZI47" s="987"/>
      <c r="PZJ47" s="987"/>
      <c r="PZK47" s="987"/>
      <c r="PZL47" s="987"/>
      <c r="PZM47" s="987"/>
      <c r="PZN47" s="987"/>
      <c r="PZO47" s="987"/>
      <c r="PZP47" s="987"/>
      <c r="PZQ47" s="987"/>
      <c r="PZR47" s="987"/>
      <c r="PZS47" s="987"/>
      <c r="PZT47" s="987"/>
      <c r="PZU47" s="987"/>
      <c r="PZV47" s="987"/>
      <c r="PZW47" s="987"/>
      <c r="PZX47" s="987"/>
      <c r="PZY47" s="987"/>
      <c r="PZZ47" s="987"/>
      <c r="QAA47" s="987"/>
      <c r="QAB47" s="987"/>
      <c r="QAC47" s="987"/>
      <c r="QAD47" s="987"/>
      <c r="QAE47" s="987"/>
      <c r="QAF47" s="987"/>
      <c r="QAG47" s="987"/>
      <c r="QAH47" s="987"/>
      <c r="QAI47" s="987"/>
      <c r="QAJ47" s="987"/>
      <c r="QAK47" s="987"/>
      <c r="QAL47" s="987"/>
      <c r="QAM47" s="987"/>
      <c r="QAN47" s="987"/>
      <c r="QAO47" s="987"/>
      <c r="QAP47" s="987"/>
      <c r="QAQ47" s="987"/>
      <c r="QAR47" s="987"/>
      <c r="QAS47" s="987"/>
      <c r="QAT47" s="987"/>
      <c r="QAU47" s="987"/>
      <c r="QAV47" s="987"/>
      <c r="QAW47" s="987"/>
      <c r="QAX47" s="987"/>
      <c r="QAY47" s="987"/>
      <c r="QAZ47" s="987"/>
      <c r="QBA47" s="987"/>
      <c r="QBB47" s="987"/>
      <c r="QBC47" s="987"/>
      <c r="QBD47" s="987"/>
      <c r="QBE47" s="987"/>
      <c r="QBF47" s="987"/>
      <c r="QBG47" s="987"/>
      <c r="QBH47" s="987"/>
      <c r="QBI47" s="987"/>
      <c r="QBJ47" s="987"/>
      <c r="QBK47" s="987"/>
      <c r="QBL47" s="987"/>
      <c r="QBM47" s="987"/>
      <c r="QBN47" s="987"/>
      <c r="QBO47" s="987"/>
      <c r="QBP47" s="987"/>
      <c r="QBQ47" s="987"/>
      <c r="QBR47" s="987"/>
      <c r="QBS47" s="987"/>
      <c r="QBT47" s="987"/>
      <c r="QBU47" s="987"/>
      <c r="QBV47" s="987"/>
      <c r="QBW47" s="987"/>
      <c r="QBX47" s="987"/>
      <c r="QBY47" s="987"/>
      <c r="QBZ47" s="987"/>
      <c r="QCA47" s="987"/>
      <c r="QCB47" s="987"/>
      <c r="QCC47" s="987"/>
      <c r="QCD47" s="987"/>
      <c r="QCE47" s="987"/>
      <c r="QCF47" s="987"/>
      <c r="QCG47" s="987"/>
      <c r="QCH47" s="987"/>
      <c r="QCI47" s="987"/>
      <c r="QCJ47" s="987"/>
      <c r="QCK47" s="987"/>
      <c r="QCL47" s="987"/>
      <c r="QCM47" s="987"/>
      <c r="QCN47" s="987"/>
      <c r="QCO47" s="987"/>
      <c r="QCP47" s="987"/>
      <c r="QCQ47" s="987"/>
      <c r="QCR47" s="987"/>
      <c r="QCS47" s="987"/>
      <c r="QCT47" s="987"/>
      <c r="QCU47" s="987"/>
      <c r="QCV47" s="987"/>
      <c r="QCW47" s="987"/>
      <c r="QCX47" s="987"/>
      <c r="QCY47" s="987"/>
      <c r="QCZ47" s="987"/>
      <c r="QDA47" s="987"/>
      <c r="QDB47" s="987"/>
      <c r="QDC47" s="987"/>
      <c r="QDD47" s="987"/>
      <c r="QDE47" s="987"/>
      <c r="QDF47" s="987"/>
      <c r="QDG47" s="987"/>
      <c r="QDH47" s="987"/>
      <c r="QDI47" s="987"/>
      <c r="QDJ47" s="987"/>
      <c r="QDK47" s="987"/>
      <c r="QDL47" s="987"/>
      <c r="QDM47" s="987"/>
      <c r="QDN47" s="987"/>
      <c r="QDO47" s="987"/>
      <c r="QDP47" s="987"/>
      <c r="QDQ47" s="987"/>
      <c r="QDR47" s="987"/>
      <c r="QDS47" s="987"/>
      <c r="QDT47" s="987"/>
      <c r="QDU47" s="987"/>
      <c r="QDV47" s="987"/>
      <c r="QDW47" s="987"/>
      <c r="QDX47" s="987"/>
      <c r="QDY47" s="987"/>
      <c r="QDZ47" s="987"/>
      <c r="QEA47" s="987"/>
      <c r="QEB47" s="987"/>
      <c r="QEC47" s="987"/>
      <c r="QED47" s="987"/>
      <c r="QEE47" s="987"/>
      <c r="QEF47" s="987"/>
      <c r="QEG47" s="987"/>
      <c r="QEH47" s="987"/>
      <c r="QEI47" s="987"/>
      <c r="QEJ47" s="987"/>
      <c r="QEK47" s="987"/>
      <c r="QEL47" s="987"/>
      <c r="QEM47" s="987"/>
      <c r="QEN47" s="987"/>
      <c r="QEO47" s="987"/>
      <c r="QEP47" s="987"/>
      <c r="QEQ47" s="987"/>
      <c r="QER47" s="987"/>
      <c r="QES47" s="987"/>
      <c r="QET47" s="987"/>
      <c r="QEU47" s="987"/>
      <c r="QEV47" s="987"/>
      <c r="QEW47" s="987"/>
      <c r="QEX47" s="987"/>
      <c r="QEY47" s="987"/>
      <c r="QEZ47" s="987"/>
      <c r="QFA47" s="987"/>
      <c r="QFB47" s="987"/>
      <c r="QFC47" s="987"/>
      <c r="QFD47" s="987"/>
      <c r="QFE47" s="987"/>
      <c r="QFF47" s="987"/>
      <c r="QFG47" s="987"/>
      <c r="QFH47" s="987"/>
      <c r="QFI47" s="987"/>
      <c r="QFJ47" s="987"/>
      <c r="QFK47" s="987"/>
      <c r="QFL47" s="987"/>
      <c r="QFM47" s="987"/>
      <c r="QFN47" s="987"/>
      <c r="QFO47" s="987"/>
      <c r="QFP47" s="987"/>
      <c r="QFQ47" s="987"/>
      <c r="QFR47" s="987"/>
      <c r="QFS47" s="987"/>
      <c r="QFT47" s="987"/>
      <c r="QFU47" s="987"/>
      <c r="QFV47" s="987"/>
      <c r="QFW47" s="987"/>
      <c r="QFX47" s="987"/>
      <c r="QFY47" s="987"/>
      <c r="QFZ47" s="987"/>
      <c r="QGA47" s="987"/>
      <c r="QGB47" s="987"/>
      <c r="QGC47" s="987"/>
      <c r="QGD47" s="987"/>
      <c r="QGE47" s="987"/>
      <c r="QGF47" s="987"/>
      <c r="QGG47" s="987"/>
      <c r="QGH47" s="987"/>
      <c r="QGI47" s="987"/>
      <c r="QGJ47" s="987"/>
      <c r="QGK47" s="987"/>
      <c r="QGL47" s="987"/>
      <c r="QGM47" s="987"/>
      <c r="QGN47" s="987"/>
      <c r="QGO47" s="987"/>
      <c r="QGP47" s="987"/>
      <c r="QGQ47" s="987"/>
      <c r="QGR47" s="987"/>
      <c r="QGS47" s="987"/>
      <c r="QGT47" s="987"/>
      <c r="QGU47" s="987"/>
      <c r="QGV47" s="987"/>
      <c r="QGW47" s="987"/>
      <c r="QGX47" s="987"/>
      <c r="QGY47" s="987"/>
      <c r="QGZ47" s="987"/>
      <c r="QHA47" s="987"/>
      <c r="QHB47" s="987"/>
      <c r="QHC47" s="987"/>
      <c r="QHD47" s="987"/>
      <c r="QHE47" s="987"/>
      <c r="QHF47" s="987"/>
      <c r="QHG47" s="987"/>
      <c r="QHH47" s="987"/>
      <c r="QHI47" s="987"/>
      <c r="QHJ47" s="987"/>
      <c r="QHK47" s="987"/>
      <c r="QHL47" s="987"/>
      <c r="QHM47" s="987"/>
      <c r="QHN47" s="987"/>
      <c r="QHO47" s="987"/>
      <c r="QHP47" s="987"/>
      <c r="QHQ47" s="987"/>
      <c r="QHR47" s="987"/>
      <c r="QHS47" s="987"/>
      <c r="QHT47" s="987"/>
      <c r="QHU47" s="987"/>
      <c r="QHV47" s="987"/>
      <c r="QHW47" s="987"/>
      <c r="QHX47" s="987"/>
      <c r="QHY47" s="987"/>
      <c r="QHZ47" s="987"/>
      <c r="QIA47" s="987"/>
      <c r="QIB47" s="987"/>
      <c r="QIC47" s="987"/>
      <c r="QID47" s="987"/>
      <c r="QIE47" s="987"/>
      <c r="QIF47" s="987"/>
      <c r="QIG47" s="987"/>
      <c r="QIH47" s="987"/>
      <c r="QII47" s="987"/>
      <c r="QIJ47" s="987"/>
      <c r="QIK47" s="987"/>
      <c r="QIL47" s="987"/>
      <c r="QIM47" s="987"/>
      <c r="QIN47" s="987"/>
      <c r="QIO47" s="987"/>
      <c r="QIP47" s="987"/>
      <c r="QIQ47" s="987"/>
      <c r="QIR47" s="987"/>
      <c r="QIS47" s="987"/>
      <c r="QIT47" s="987"/>
      <c r="QIU47" s="987"/>
      <c r="QIV47" s="987"/>
      <c r="QIW47" s="987"/>
      <c r="QIX47" s="987"/>
      <c r="QIY47" s="987"/>
      <c r="QIZ47" s="987"/>
      <c r="QJA47" s="987"/>
      <c r="QJB47" s="987"/>
      <c r="QJC47" s="987"/>
      <c r="QJD47" s="987"/>
      <c r="QJE47" s="987"/>
      <c r="QJF47" s="987"/>
      <c r="QJG47" s="987"/>
      <c r="QJH47" s="987"/>
      <c r="QJI47" s="987"/>
      <c r="QJJ47" s="987"/>
      <c r="QJK47" s="987"/>
      <c r="QJL47" s="987"/>
      <c r="QJM47" s="987"/>
      <c r="QJN47" s="987"/>
      <c r="QJO47" s="987"/>
      <c r="QJP47" s="987"/>
      <c r="QJQ47" s="987"/>
      <c r="QJR47" s="987"/>
      <c r="QJS47" s="987"/>
      <c r="QJT47" s="987"/>
      <c r="QJU47" s="987"/>
      <c r="QJV47" s="987"/>
      <c r="QJW47" s="987"/>
      <c r="QJX47" s="987"/>
      <c r="QJY47" s="987"/>
      <c r="QJZ47" s="987"/>
      <c r="QKA47" s="987"/>
      <c r="QKB47" s="987"/>
      <c r="QKC47" s="987"/>
      <c r="QKD47" s="987"/>
      <c r="QKE47" s="987"/>
      <c r="QKF47" s="987"/>
      <c r="QKG47" s="987"/>
      <c r="QKH47" s="987"/>
      <c r="QKI47" s="987"/>
      <c r="QKJ47" s="987"/>
      <c r="QKK47" s="987"/>
      <c r="QKL47" s="987"/>
      <c r="QKM47" s="987"/>
      <c r="QKN47" s="987"/>
      <c r="QKO47" s="987"/>
      <c r="QKP47" s="987"/>
      <c r="QKQ47" s="987"/>
      <c r="QKR47" s="987"/>
      <c r="QKS47" s="987"/>
      <c r="QKT47" s="987"/>
      <c r="QKU47" s="987"/>
      <c r="QKV47" s="987"/>
      <c r="QKW47" s="987"/>
      <c r="QKX47" s="987"/>
      <c r="QKY47" s="987"/>
      <c r="QKZ47" s="987"/>
      <c r="QLA47" s="987"/>
      <c r="QLB47" s="987"/>
      <c r="QLC47" s="987"/>
      <c r="QLD47" s="987"/>
      <c r="QLE47" s="987"/>
      <c r="QLF47" s="987"/>
      <c r="QLG47" s="987"/>
      <c r="QLH47" s="987"/>
      <c r="QLI47" s="987"/>
      <c r="QLJ47" s="987"/>
      <c r="QLK47" s="987"/>
      <c r="QLL47" s="987"/>
      <c r="QLM47" s="987"/>
      <c r="QLN47" s="987"/>
      <c r="QLO47" s="987"/>
      <c r="QLP47" s="987"/>
      <c r="QLQ47" s="987"/>
      <c r="QLR47" s="987"/>
      <c r="QLS47" s="987"/>
      <c r="QLT47" s="987"/>
      <c r="QLU47" s="987"/>
      <c r="QLV47" s="987"/>
      <c r="QLW47" s="987"/>
      <c r="QLX47" s="987"/>
      <c r="QLY47" s="987"/>
      <c r="QLZ47" s="987"/>
      <c r="QMA47" s="987"/>
      <c r="QMB47" s="987"/>
      <c r="QMC47" s="987"/>
      <c r="QMD47" s="987"/>
      <c r="QME47" s="987"/>
      <c r="QMF47" s="987"/>
      <c r="QMG47" s="987"/>
      <c r="QMH47" s="987"/>
      <c r="QMI47" s="987"/>
      <c r="QMJ47" s="987"/>
      <c r="QMK47" s="987"/>
      <c r="QML47" s="987"/>
      <c r="QMM47" s="987"/>
      <c r="QMN47" s="987"/>
      <c r="QMO47" s="987"/>
      <c r="QMP47" s="987"/>
      <c r="QMQ47" s="987"/>
      <c r="QMR47" s="987"/>
      <c r="QMS47" s="987"/>
      <c r="QMT47" s="987"/>
      <c r="QMU47" s="987"/>
      <c r="QMV47" s="987"/>
      <c r="QMW47" s="987"/>
      <c r="QMX47" s="987"/>
      <c r="QMY47" s="987"/>
      <c r="QMZ47" s="987"/>
      <c r="QNA47" s="987"/>
      <c r="QNB47" s="987"/>
      <c r="QNC47" s="987"/>
      <c r="QND47" s="987"/>
      <c r="QNE47" s="987"/>
      <c r="QNF47" s="987"/>
      <c r="QNG47" s="987"/>
      <c r="QNH47" s="987"/>
      <c r="QNI47" s="987"/>
      <c r="QNJ47" s="987"/>
      <c r="QNK47" s="987"/>
      <c r="QNL47" s="987"/>
      <c r="QNM47" s="987"/>
      <c r="QNN47" s="987"/>
      <c r="QNO47" s="987"/>
      <c r="QNP47" s="987"/>
      <c r="QNQ47" s="987"/>
      <c r="QNR47" s="987"/>
      <c r="QNS47" s="987"/>
      <c r="QNT47" s="987"/>
      <c r="QNU47" s="987"/>
      <c r="QNV47" s="987"/>
      <c r="QNW47" s="987"/>
      <c r="QNX47" s="987"/>
      <c r="QNY47" s="987"/>
      <c r="QNZ47" s="987"/>
      <c r="QOA47" s="987"/>
      <c r="QOB47" s="987"/>
      <c r="QOC47" s="987"/>
      <c r="QOD47" s="987"/>
      <c r="QOE47" s="987"/>
      <c r="QOF47" s="987"/>
      <c r="QOG47" s="987"/>
      <c r="QOH47" s="987"/>
      <c r="QOI47" s="987"/>
      <c r="QOJ47" s="987"/>
      <c r="QOK47" s="987"/>
      <c r="QOL47" s="987"/>
      <c r="QOM47" s="987"/>
      <c r="QON47" s="987"/>
      <c r="QOO47" s="987"/>
      <c r="QOP47" s="987"/>
      <c r="QOQ47" s="987"/>
      <c r="QOR47" s="987"/>
      <c r="QOS47" s="987"/>
      <c r="QOT47" s="987"/>
      <c r="QOU47" s="987"/>
      <c r="QOV47" s="987"/>
      <c r="QOW47" s="987"/>
      <c r="QOX47" s="987"/>
      <c r="QOY47" s="987"/>
      <c r="QOZ47" s="987"/>
      <c r="QPA47" s="987"/>
      <c r="QPB47" s="987"/>
      <c r="QPC47" s="987"/>
      <c r="QPD47" s="987"/>
      <c r="QPE47" s="987"/>
      <c r="QPF47" s="987"/>
      <c r="QPG47" s="987"/>
      <c r="QPH47" s="987"/>
      <c r="QPI47" s="987"/>
      <c r="QPJ47" s="987"/>
      <c r="QPK47" s="987"/>
      <c r="QPL47" s="987"/>
      <c r="QPM47" s="987"/>
      <c r="QPN47" s="987"/>
      <c r="QPO47" s="987"/>
      <c r="QPP47" s="987"/>
      <c r="QPQ47" s="987"/>
      <c r="QPR47" s="987"/>
      <c r="QPS47" s="987"/>
      <c r="QPT47" s="987"/>
      <c r="QPU47" s="987"/>
      <c r="QPV47" s="987"/>
      <c r="QPW47" s="987"/>
      <c r="QPX47" s="987"/>
      <c r="QPY47" s="987"/>
      <c r="QPZ47" s="987"/>
      <c r="QQA47" s="987"/>
      <c r="QQB47" s="987"/>
      <c r="QQC47" s="987"/>
      <c r="QQD47" s="987"/>
      <c r="QQE47" s="987"/>
      <c r="QQF47" s="987"/>
      <c r="QQG47" s="987"/>
      <c r="QQH47" s="987"/>
      <c r="QQI47" s="987"/>
      <c r="QQJ47" s="987"/>
      <c r="QQK47" s="987"/>
      <c r="QQL47" s="987"/>
      <c r="QQM47" s="987"/>
      <c r="QQN47" s="987"/>
      <c r="QQO47" s="987"/>
      <c r="QQP47" s="987"/>
      <c r="QQQ47" s="987"/>
      <c r="QQR47" s="987"/>
      <c r="QQS47" s="987"/>
      <c r="QQT47" s="987"/>
      <c r="QQU47" s="987"/>
      <c r="QQV47" s="987"/>
      <c r="QQW47" s="987"/>
      <c r="QQX47" s="987"/>
      <c r="QQY47" s="987"/>
      <c r="QQZ47" s="987"/>
      <c r="QRA47" s="987"/>
      <c r="QRB47" s="987"/>
      <c r="QRC47" s="987"/>
      <c r="QRD47" s="987"/>
      <c r="QRE47" s="987"/>
      <c r="QRF47" s="987"/>
      <c r="QRG47" s="987"/>
      <c r="QRH47" s="987"/>
      <c r="QRI47" s="987"/>
      <c r="QRJ47" s="987"/>
      <c r="QRK47" s="987"/>
      <c r="QRL47" s="987"/>
      <c r="QRM47" s="987"/>
      <c r="QRN47" s="987"/>
      <c r="QRO47" s="987"/>
      <c r="QRP47" s="987"/>
      <c r="QRQ47" s="987"/>
      <c r="QRR47" s="987"/>
      <c r="QRS47" s="987"/>
      <c r="QRT47" s="987"/>
      <c r="QRU47" s="987"/>
      <c r="QRV47" s="987"/>
      <c r="QRW47" s="987"/>
      <c r="QRX47" s="987"/>
      <c r="QRY47" s="987"/>
      <c r="QRZ47" s="987"/>
      <c r="QSA47" s="987"/>
      <c r="QSB47" s="987"/>
      <c r="QSC47" s="987"/>
      <c r="QSD47" s="987"/>
      <c r="QSE47" s="987"/>
      <c r="QSF47" s="987"/>
      <c r="QSG47" s="987"/>
      <c r="QSH47" s="987"/>
      <c r="QSI47" s="987"/>
      <c r="QSJ47" s="987"/>
      <c r="QSK47" s="987"/>
      <c r="QSL47" s="987"/>
      <c r="QSM47" s="987"/>
      <c r="QSN47" s="987"/>
      <c r="QSO47" s="987"/>
      <c r="QSP47" s="987"/>
      <c r="QSQ47" s="987"/>
      <c r="QSR47" s="987"/>
      <c r="QSS47" s="987"/>
      <c r="QST47" s="987"/>
      <c r="QSU47" s="987"/>
      <c r="QSV47" s="987"/>
      <c r="QSW47" s="987"/>
      <c r="QSX47" s="987"/>
      <c r="QSY47" s="987"/>
      <c r="QSZ47" s="987"/>
      <c r="QTA47" s="987"/>
      <c r="QTB47" s="987"/>
      <c r="QTC47" s="987"/>
      <c r="QTD47" s="987"/>
      <c r="QTE47" s="987"/>
      <c r="QTF47" s="987"/>
      <c r="QTG47" s="987"/>
      <c r="QTH47" s="987"/>
      <c r="QTI47" s="987"/>
      <c r="QTJ47" s="987"/>
      <c r="QTK47" s="987"/>
      <c r="QTL47" s="987"/>
      <c r="QTM47" s="987"/>
      <c r="QTN47" s="987"/>
      <c r="QTO47" s="987"/>
      <c r="QTP47" s="987"/>
      <c r="QTQ47" s="987"/>
      <c r="QTR47" s="987"/>
      <c r="QTS47" s="987"/>
      <c r="QTT47" s="987"/>
      <c r="QTU47" s="987"/>
      <c r="QTV47" s="987"/>
      <c r="QTW47" s="987"/>
      <c r="QTX47" s="987"/>
      <c r="QTY47" s="987"/>
      <c r="QTZ47" s="987"/>
      <c r="QUA47" s="987"/>
      <c r="QUB47" s="987"/>
      <c r="QUC47" s="987"/>
      <c r="QUD47" s="987"/>
      <c r="QUE47" s="987"/>
      <c r="QUF47" s="987"/>
      <c r="QUG47" s="987"/>
      <c r="QUH47" s="987"/>
      <c r="QUI47" s="987"/>
      <c r="QUJ47" s="987"/>
      <c r="QUK47" s="987"/>
      <c r="QUL47" s="987"/>
      <c r="QUM47" s="987"/>
      <c r="QUN47" s="987"/>
      <c r="QUO47" s="987"/>
      <c r="QUP47" s="987"/>
      <c r="QUQ47" s="987"/>
      <c r="QUR47" s="987"/>
      <c r="QUS47" s="987"/>
      <c r="QUT47" s="987"/>
      <c r="QUU47" s="987"/>
      <c r="QUV47" s="987"/>
      <c r="QUW47" s="987"/>
      <c r="QUX47" s="987"/>
      <c r="QUY47" s="987"/>
      <c r="QUZ47" s="987"/>
      <c r="QVA47" s="987"/>
      <c r="QVB47" s="987"/>
      <c r="QVC47" s="987"/>
      <c r="QVD47" s="987"/>
      <c r="QVE47" s="987"/>
      <c r="QVF47" s="987"/>
      <c r="QVG47" s="987"/>
      <c r="QVH47" s="987"/>
      <c r="QVI47" s="987"/>
      <c r="QVJ47" s="987"/>
      <c r="QVK47" s="987"/>
      <c r="QVL47" s="987"/>
      <c r="QVM47" s="987"/>
      <c r="QVN47" s="987"/>
      <c r="QVO47" s="987"/>
      <c r="QVP47" s="987"/>
      <c r="QVQ47" s="987"/>
      <c r="QVR47" s="987"/>
      <c r="QVS47" s="987"/>
      <c r="QVT47" s="987"/>
      <c r="QVU47" s="987"/>
      <c r="QVV47" s="987"/>
      <c r="QVW47" s="987"/>
      <c r="QVX47" s="987"/>
      <c r="QVY47" s="987"/>
      <c r="QVZ47" s="987"/>
      <c r="QWA47" s="987"/>
      <c r="QWB47" s="987"/>
      <c r="QWC47" s="987"/>
      <c r="QWD47" s="987"/>
      <c r="QWE47" s="987"/>
      <c r="QWF47" s="987"/>
      <c r="QWG47" s="987"/>
      <c r="QWH47" s="987"/>
      <c r="QWI47" s="987"/>
      <c r="QWJ47" s="987"/>
      <c r="QWK47" s="987"/>
      <c r="QWL47" s="987"/>
      <c r="QWM47" s="987"/>
      <c r="QWN47" s="987"/>
      <c r="QWO47" s="987"/>
      <c r="QWP47" s="987"/>
      <c r="QWQ47" s="987"/>
      <c r="QWR47" s="987"/>
      <c r="QWS47" s="987"/>
      <c r="QWT47" s="987"/>
      <c r="QWU47" s="987"/>
      <c r="QWV47" s="987"/>
      <c r="QWW47" s="987"/>
      <c r="QWX47" s="987"/>
      <c r="QWY47" s="987"/>
      <c r="QWZ47" s="987"/>
      <c r="QXA47" s="987"/>
      <c r="QXB47" s="987"/>
      <c r="QXC47" s="987"/>
      <c r="QXD47" s="987"/>
      <c r="QXE47" s="987"/>
      <c r="QXF47" s="987"/>
      <c r="QXG47" s="987"/>
      <c r="QXH47" s="987"/>
      <c r="QXI47" s="987"/>
      <c r="QXJ47" s="987"/>
      <c r="QXK47" s="987"/>
      <c r="QXL47" s="987"/>
      <c r="QXM47" s="987"/>
      <c r="QXN47" s="987"/>
      <c r="QXO47" s="987"/>
      <c r="QXP47" s="987"/>
      <c r="QXQ47" s="987"/>
      <c r="QXR47" s="987"/>
      <c r="QXS47" s="987"/>
      <c r="QXT47" s="987"/>
      <c r="QXU47" s="987"/>
      <c r="QXV47" s="987"/>
      <c r="QXW47" s="987"/>
      <c r="QXX47" s="987"/>
      <c r="QXY47" s="987"/>
      <c r="QXZ47" s="987"/>
      <c r="QYA47" s="987"/>
      <c r="QYB47" s="987"/>
      <c r="QYC47" s="987"/>
      <c r="QYD47" s="987"/>
      <c r="QYE47" s="987"/>
      <c r="QYF47" s="987"/>
      <c r="QYG47" s="987"/>
      <c r="QYH47" s="987"/>
      <c r="QYI47" s="987"/>
      <c r="QYJ47" s="987"/>
      <c r="QYK47" s="987"/>
      <c r="QYL47" s="987"/>
      <c r="QYM47" s="987"/>
      <c r="QYN47" s="987"/>
      <c r="QYO47" s="987"/>
      <c r="QYP47" s="987"/>
      <c r="QYQ47" s="987"/>
      <c r="QYR47" s="987"/>
      <c r="QYS47" s="987"/>
      <c r="QYT47" s="987"/>
      <c r="QYU47" s="987"/>
      <c r="QYV47" s="987"/>
      <c r="QYW47" s="987"/>
      <c r="QYX47" s="987"/>
      <c r="QYY47" s="987"/>
      <c r="QYZ47" s="987"/>
      <c r="QZA47" s="987"/>
      <c r="QZB47" s="987"/>
      <c r="QZC47" s="987"/>
      <c r="QZD47" s="987"/>
      <c r="QZE47" s="987"/>
      <c r="QZF47" s="987"/>
      <c r="QZG47" s="987"/>
      <c r="QZH47" s="987"/>
      <c r="QZI47" s="987"/>
      <c r="QZJ47" s="987"/>
      <c r="QZK47" s="987"/>
      <c r="QZL47" s="987"/>
      <c r="QZM47" s="987"/>
      <c r="QZN47" s="987"/>
      <c r="QZO47" s="987"/>
      <c r="QZP47" s="987"/>
      <c r="QZQ47" s="987"/>
      <c r="QZR47" s="987"/>
      <c r="QZS47" s="987"/>
      <c r="QZT47" s="987"/>
      <c r="QZU47" s="987"/>
      <c r="QZV47" s="987"/>
      <c r="QZW47" s="987"/>
      <c r="QZX47" s="987"/>
      <c r="QZY47" s="987"/>
      <c r="QZZ47" s="987"/>
      <c r="RAA47" s="987"/>
      <c r="RAB47" s="987"/>
      <c r="RAC47" s="987"/>
      <c r="RAD47" s="987"/>
      <c r="RAE47" s="987"/>
      <c r="RAF47" s="987"/>
      <c r="RAG47" s="987"/>
      <c r="RAH47" s="987"/>
      <c r="RAI47" s="987"/>
      <c r="RAJ47" s="987"/>
      <c r="RAK47" s="987"/>
      <c r="RAL47" s="987"/>
      <c r="RAM47" s="987"/>
      <c r="RAN47" s="987"/>
      <c r="RAO47" s="987"/>
      <c r="RAP47" s="987"/>
      <c r="RAQ47" s="987"/>
      <c r="RAR47" s="987"/>
      <c r="RAS47" s="987"/>
      <c r="RAT47" s="987"/>
      <c r="RAU47" s="987"/>
      <c r="RAV47" s="987"/>
      <c r="RAW47" s="987"/>
      <c r="RAX47" s="987"/>
      <c r="RAY47" s="987"/>
      <c r="RAZ47" s="987"/>
      <c r="RBA47" s="987"/>
      <c r="RBB47" s="987"/>
      <c r="RBC47" s="987"/>
      <c r="RBD47" s="987"/>
      <c r="RBE47" s="987"/>
      <c r="RBF47" s="987"/>
      <c r="RBG47" s="987"/>
      <c r="RBH47" s="987"/>
      <c r="RBI47" s="987"/>
      <c r="RBJ47" s="987"/>
      <c r="RBK47" s="987"/>
      <c r="RBL47" s="987"/>
      <c r="RBM47" s="987"/>
      <c r="RBN47" s="987"/>
      <c r="RBO47" s="987"/>
      <c r="RBP47" s="987"/>
      <c r="RBQ47" s="987"/>
      <c r="RBR47" s="987"/>
      <c r="RBS47" s="987"/>
      <c r="RBT47" s="987"/>
      <c r="RBU47" s="987"/>
      <c r="RBV47" s="987"/>
      <c r="RBW47" s="987"/>
      <c r="RBX47" s="987"/>
      <c r="RBY47" s="987"/>
      <c r="RBZ47" s="987"/>
      <c r="RCA47" s="987"/>
      <c r="RCB47" s="987"/>
      <c r="RCC47" s="987"/>
      <c r="RCD47" s="987"/>
      <c r="RCE47" s="987"/>
      <c r="RCF47" s="987"/>
      <c r="RCG47" s="987"/>
      <c r="RCH47" s="987"/>
      <c r="RCI47" s="987"/>
      <c r="RCJ47" s="987"/>
      <c r="RCK47" s="987"/>
      <c r="RCL47" s="987"/>
      <c r="RCM47" s="987"/>
      <c r="RCN47" s="987"/>
      <c r="RCO47" s="987"/>
      <c r="RCP47" s="987"/>
      <c r="RCQ47" s="987"/>
      <c r="RCR47" s="987"/>
      <c r="RCS47" s="987"/>
      <c r="RCT47" s="987"/>
      <c r="RCU47" s="987"/>
      <c r="RCV47" s="987"/>
      <c r="RCW47" s="987"/>
      <c r="RCX47" s="987"/>
      <c r="RCY47" s="987"/>
      <c r="RCZ47" s="987"/>
      <c r="RDA47" s="987"/>
      <c r="RDB47" s="987"/>
      <c r="RDC47" s="987"/>
      <c r="RDD47" s="987"/>
      <c r="RDE47" s="987"/>
      <c r="RDF47" s="987"/>
      <c r="RDG47" s="987"/>
      <c r="RDH47" s="987"/>
      <c r="RDI47" s="987"/>
      <c r="RDJ47" s="987"/>
      <c r="RDK47" s="987"/>
      <c r="RDL47" s="987"/>
      <c r="RDM47" s="987"/>
      <c r="RDN47" s="987"/>
      <c r="RDO47" s="987"/>
      <c r="RDP47" s="987"/>
      <c r="RDQ47" s="987"/>
      <c r="RDR47" s="987"/>
      <c r="RDS47" s="987"/>
      <c r="RDT47" s="987"/>
      <c r="RDU47" s="987"/>
      <c r="RDV47" s="987"/>
      <c r="RDW47" s="987"/>
      <c r="RDX47" s="987"/>
      <c r="RDY47" s="987"/>
      <c r="RDZ47" s="987"/>
      <c r="REA47" s="987"/>
      <c r="REB47" s="987"/>
      <c r="REC47" s="987"/>
      <c r="RED47" s="987"/>
      <c r="REE47" s="987"/>
      <c r="REF47" s="987"/>
      <c r="REG47" s="987"/>
      <c r="REH47" s="987"/>
      <c r="REI47" s="987"/>
      <c r="REJ47" s="987"/>
      <c r="REK47" s="987"/>
      <c r="REL47" s="987"/>
      <c r="REM47" s="987"/>
      <c r="REN47" s="987"/>
      <c r="REO47" s="987"/>
      <c r="REP47" s="987"/>
      <c r="REQ47" s="987"/>
      <c r="RER47" s="987"/>
      <c r="RES47" s="987"/>
      <c r="RET47" s="987"/>
      <c r="REU47" s="987"/>
      <c r="REV47" s="987"/>
      <c r="REW47" s="987"/>
      <c r="REX47" s="987"/>
      <c r="REY47" s="987"/>
      <c r="REZ47" s="987"/>
      <c r="RFA47" s="987"/>
      <c r="RFB47" s="987"/>
      <c r="RFC47" s="987"/>
      <c r="RFD47" s="987"/>
      <c r="RFE47" s="987"/>
      <c r="RFF47" s="987"/>
      <c r="RFG47" s="987"/>
      <c r="RFH47" s="987"/>
      <c r="RFI47" s="987"/>
      <c r="RFJ47" s="987"/>
      <c r="RFK47" s="987"/>
      <c r="RFL47" s="987"/>
      <c r="RFM47" s="987"/>
      <c r="RFN47" s="987"/>
      <c r="RFO47" s="987"/>
      <c r="RFP47" s="987"/>
      <c r="RFQ47" s="987"/>
      <c r="RFR47" s="987"/>
      <c r="RFS47" s="987"/>
      <c r="RFT47" s="987"/>
      <c r="RFU47" s="987"/>
      <c r="RFV47" s="987"/>
      <c r="RFW47" s="987"/>
      <c r="RFX47" s="987"/>
      <c r="RFY47" s="987"/>
      <c r="RFZ47" s="987"/>
      <c r="RGA47" s="987"/>
      <c r="RGB47" s="987"/>
      <c r="RGC47" s="987"/>
      <c r="RGD47" s="987"/>
      <c r="RGE47" s="987"/>
      <c r="RGF47" s="987"/>
      <c r="RGG47" s="987"/>
      <c r="RGH47" s="987"/>
      <c r="RGI47" s="987"/>
      <c r="RGJ47" s="987"/>
      <c r="RGK47" s="987"/>
      <c r="RGL47" s="987"/>
      <c r="RGM47" s="987"/>
      <c r="RGN47" s="987"/>
      <c r="RGO47" s="987"/>
      <c r="RGP47" s="987"/>
      <c r="RGQ47" s="987"/>
      <c r="RGR47" s="987"/>
      <c r="RGS47" s="987"/>
      <c r="RGT47" s="987"/>
      <c r="RGU47" s="987"/>
      <c r="RGV47" s="987"/>
      <c r="RGW47" s="987"/>
      <c r="RGX47" s="987"/>
      <c r="RGY47" s="987"/>
      <c r="RGZ47" s="987"/>
      <c r="RHA47" s="987"/>
      <c r="RHB47" s="987"/>
      <c r="RHC47" s="987"/>
      <c r="RHD47" s="987"/>
      <c r="RHE47" s="987"/>
      <c r="RHF47" s="987"/>
      <c r="RHG47" s="987"/>
      <c r="RHH47" s="987"/>
      <c r="RHI47" s="987"/>
      <c r="RHJ47" s="987"/>
      <c r="RHK47" s="987"/>
      <c r="RHL47" s="987"/>
      <c r="RHM47" s="987"/>
      <c r="RHN47" s="987"/>
      <c r="RHO47" s="987"/>
      <c r="RHP47" s="987"/>
      <c r="RHQ47" s="987"/>
      <c r="RHR47" s="987"/>
      <c r="RHS47" s="987"/>
      <c r="RHT47" s="987"/>
      <c r="RHU47" s="987"/>
      <c r="RHV47" s="987"/>
      <c r="RHW47" s="987"/>
      <c r="RHX47" s="987"/>
      <c r="RHY47" s="987"/>
      <c r="RHZ47" s="987"/>
      <c r="RIA47" s="987"/>
      <c r="RIB47" s="987"/>
      <c r="RIC47" s="987"/>
      <c r="RID47" s="987"/>
      <c r="RIE47" s="987"/>
      <c r="RIF47" s="987"/>
      <c r="RIG47" s="987"/>
      <c r="RIH47" s="987"/>
      <c r="RII47" s="987"/>
      <c r="RIJ47" s="987"/>
      <c r="RIK47" s="987"/>
      <c r="RIL47" s="987"/>
      <c r="RIM47" s="987"/>
      <c r="RIN47" s="987"/>
      <c r="RIO47" s="987"/>
      <c r="RIP47" s="987"/>
      <c r="RIQ47" s="987"/>
      <c r="RIR47" s="987"/>
      <c r="RIS47" s="987"/>
      <c r="RIT47" s="987"/>
      <c r="RIU47" s="987"/>
      <c r="RIV47" s="987"/>
      <c r="RIW47" s="987"/>
      <c r="RIX47" s="987"/>
      <c r="RIY47" s="987"/>
      <c r="RIZ47" s="987"/>
      <c r="RJA47" s="987"/>
      <c r="RJB47" s="987"/>
      <c r="RJC47" s="987"/>
      <c r="RJD47" s="987"/>
      <c r="RJE47" s="987"/>
      <c r="RJF47" s="987"/>
      <c r="RJG47" s="987"/>
      <c r="RJH47" s="987"/>
      <c r="RJI47" s="987"/>
      <c r="RJJ47" s="987"/>
      <c r="RJK47" s="987"/>
      <c r="RJL47" s="987"/>
      <c r="RJM47" s="987"/>
      <c r="RJN47" s="987"/>
      <c r="RJO47" s="987"/>
      <c r="RJP47" s="987"/>
      <c r="RJQ47" s="987"/>
      <c r="RJR47" s="987"/>
      <c r="RJS47" s="987"/>
      <c r="RJT47" s="987"/>
      <c r="RJU47" s="987"/>
      <c r="RJV47" s="987"/>
      <c r="RJW47" s="987"/>
      <c r="RJX47" s="987"/>
      <c r="RJY47" s="987"/>
      <c r="RJZ47" s="987"/>
      <c r="RKA47" s="987"/>
      <c r="RKB47" s="987"/>
      <c r="RKC47" s="987"/>
      <c r="RKD47" s="987"/>
      <c r="RKE47" s="987"/>
      <c r="RKF47" s="987"/>
      <c r="RKG47" s="987"/>
      <c r="RKH47" s="987"/>
      <c r="RKI47" s="987"/>
      <c r="RKJ47" s="987"/>
      <c r="RKK47" s="987"/>
      <c r="RKL47" s="987"/>
      <c r="RKM47" s="987"/>
      <c r="RKN47" s="987"/>
      <c r="RKO47" s="987"/>
      <c r="RKP47" s="987"/>
      <c r="RKQ47" s="987"/>
      <c r="RKR47" s="987"/>
      <c r="RKS47" s="987"/>
      <c r="RKT47" s="987"/>
      <c r="RKU47" s="987"/>
      <c r="RKV47" s="987"/>
      <c r="RKW47" s="987"/>
      <c r="RKX47" s="987"/>
      <c r="RKY47" s="987"/>
      <c r="RKZ47" s="987"/>
      <c r="RLA47" s="987"/>
      <c r="RLB47" s="987"/>
      <c r="RLC47" s="987"/>
      <c r="RLD47" s="987"/>
      <c r="RLE47" s="987"/>
      <c r="RLF47" s="987"/>
      <c r="RLG47" s="987"/>
      <c r="RLH47" s="987"/>
      <c r="RLI47" s="987"/>
      <c r="RLJ47" s="987"/>
      <c r="RLK47" s="987"/>
      <c r="RLL47" s="987"/>
      <c r="RLM47" s="987"/>
      <c r="RLN47" s="987"/>
      <c r="RLO47" s="987"/>
      <c r="RLP47" s="987"/>
      <c r="RLQ47" s="987"/>
      <c r="RLR47" s="987"/>
      <c r="RLS47" s="987"/>
      <c r="RLT47" s="987"/>
      <c r="RLU47" s="987"/>
      <c r="RLV47" s="987"/>
      <c r="RLW47" s="987"/>
      <c r="RLX47" s="987"/>
      <c r="RLY47" s="987"/>
      <c r="RLZ47" s="987"/>
      <c r="RMA47" s="987"/>
      <c r="RMB47" s="987"/>
      <c r="RMC47" s="987"/>
      <c r="RMD47" s="987"/>
      <c r="RME47" s="987"/>
      <c r="RMF47" s="987"/>
      <c r="RMG47" s="987"/>
      <c r="RMH47" s="987"/>
      <c r="RMI47" s="987"/>
      <c r="RMJ47" s="987"/>
      <c r="RMK47" s="987"/>
      <c r="RML47" s="987"/>
      <c r="RMM47" s="987"/>
      <c r="RMN47" s="987"/>
      <c r="RMO47" s="987"/>
      <c r="RMP47" s="987"/>
      <c r="RMQ47" s="987"/>
      <c r="RMR47" s="987"/>
      <c r="RMS47" s="987"/>
      <c r="RMT47" s="987"/>
      <c r="RMU47" s="987"/>
      <c r="RMV47" s="987"/>
      <c r="RMW47" s="987"/>
      <c r="RMX47" s="987"/>
      <c r="RMY47" s="987"/>
      <c r="RMZ47" s="987"/>
      <c r="RNA47" s="987"/>
      <c r="RNB47" s="987"/>
      <c r="RNC47" s="987"/>
      <c r="RND47" s="987"/>
      <c r="RNE47" s="987"/>
      <c r="RNF47" s="987"/>
      <c r="RNG47" s="987"/>
      <c r="RNH47" s="987"/>
      <c r="RNI47" s="987"/>
      <c r="RNJ47" s="987"/>
      <c r="RNK47" s="987"/>
      <c r="RNL47" s="987"/>
      <c r="RNM47" s="987"/>
      <c r="RNN47" s="987"/>
      <c r="RNO47" s="987"/>
      <c r="RNP47" s="987"/>
      <c r="RNQ47" s="987"/>
      <c r="RNR47" s="987"/>
      <c r="RNS47" s="987"/>
      <c r="RNT47" s="987"/>
      <c r="RNU47" s="987"/>
      <c r="RNV47" s="987"/>
      <c r="RNW47" s="987"/>
      <c r="RNX47" s="987"/>
      <c r="RNY47" s="987"/>
      <c r="RNZ47" s="987"/>
      <c r="ROA47" s="987"/>
      <c r="ROB47" s="987"/>
      <c r="ROC47" s="987"/>
      <c r="ROD47" s="987"/>
      <c r="ROE47" s="987"/>
      <c r="ROF47" s="987"/>
      <c r="ROG47" s="987"/>
      <c r="ROH47" s="987"/>
      <c r="ROI47" s="987"/>
      <c r="ROJ47" s="987"/>
      <c r="ROK47" s="987"/>
      <c r="ROL47" s="987"/>
      <c r="ROM47" s="987"/>
      <c r="RON47" s="987"/>
      <c r="ROO47" s="987"/>
      <c r="ROP47" s="987"/>
      <c r="ROQ47" s="987"/>
      <c r="ROR47" s="987"/>
      <c r="ROS47" s="987"/>
      <c r="ROT47" s="987"/>
      <c r="ROU47" s="987"/>
      <c r="ROV47" s="987"/>
      <c r="ROW47" s="987"/>
      <c r="ROX47" s="987"/>
      <c r="ROY47" s="987"/>
      <c r="ROZ47" s="987"/>
      <c r="RPA47" s="987"/>
      <c r="RPB47" s="987"/>
      <c r="RPC47" s="987"/>
      <c r="RPD47" s="987"/>
      <c r="RPE47" s="987"/>
      <c r="RPF47" s="987"/>
      <c r="RPG47" s="987"/>
      <c r="RPH47" s="987"/>
      <c r="RPI47" s="987"/>
      <c r="RPJ47" s="987"/>
      <c r="RPK47" s="987"/>
      <c r="RPL47" s="987"/>
      <c r="RPM47" s="987"/>
      <c r="RPN47" s="987"/>
      <c r="RPO47" s="987"/>
      <c r="RPP47" s="987"/>
      <c r="RPQ47" s="987"/>
      <c r="RPR47" s="987"/>
      <c r="RPS47" s="987"/>
      <c r="RPT47" s="987"/>
      <c r="RPU47" s="987"/>
      <c r="RPV47" s="987"/>
      <c r="RPW47" s="987"/>
      <c r="RPX47" s="987"/>
      <c r="RPY47" s="987"/>
      <c r="RPZ47" s="987"/>
      <c r="RQA47" s="987"/>
      <c r="RQB47" s="987"/>
      <c r="RQC47" s="987"/>
      <c r="RQD47" s="987"/>
      <c r="RQE47" s="987"/>
      <c r="RQF47" s="987"/>
      <c r="RQG47" s="987"/>
      <c r="RQH47" s="987"/>
      <c r="RQI47" s="987"/>
      <c r="RQJ47" s="987"/>
      <c r="RQK47" s="987"/>
      <c r="RQL47" s="987"/>
      <c r="RQM47" s="987"/>
      <c r="RQN47" s="987"/>
      <c r="RQO47" s="987"/>
      <c r="RQP47" s="987"/>
      <c r="RQQ47" s="987"/>
      <c r="RQR47" s="987"/>
      <c r="RQS47" s="987"/>
      <c r="RQT47" s="987"/>
      <c r="RQU47" s="987"/>
      <c r="RQV47" s="987"/>
      <c r="RQW47" s="987"/>
      <c r="RQX47" s="987"/>
      <c r="RQY47" s="987"/>
      <c r="RQZ47" s="987"/>
      <c r="RRA47" s="987"/>
      <c r="RRB47" s="987"/>
      <c r="RRC47" s="987"/>
      <c r="RRD47" s="987"/>
      <c r="RRE47" s="987"/>
      <c r="RRF47" s="987"/>
      <c r="RRG47" s="987"/>
      <c r="RRH47" s="987"/>
      <c r="RRI47" s="987"/>
      <c r="RRJ47" s="987"/>
      <c r="RRK47" s="987"/>
      <c r="RRL47" s="987"/>
      <c r="RRM47" s="987"/>
      <c r="RRN47" s="987"/>
      <c r="RRO47" s="987"/>
      <c r="RRP47" s="987"/>
      <c r="RRQ47" s="987"/>
      <c r="RRR47" s="987"/>
      <c r="RRS47" s="987"/>
      <c r="RRT47" s="987"/>
      <c r="RRU47" s="987"/>
      <c r="RRV47" s="987"/>
      <c r="RRW47" s="987"/>
      <c r="RRX47" s="987"/>
      <c r="RRY47" s="987"/>
      <c r="RRZ47" s="987"/>
      <c r="RSA47" s="987"/>
      <c r="RSB47" s="987"/>
      <c r="RSC47" s="987"/>
      <c r="RSD47" s="987"/>
      <c r="RSE47" s="987"/>
      <c r="RSF47" s="987"/>
      <c r="RSG47" s="987"/>
      <c r="RSH47" s="987"/>
      <c r="RSI47" s="987"/>
      <c r="RSJ47" s="987"/>
      <c r="RSK47" s="987"/>
      <c r="RSL47" s="987"/>
      <c r="RSM47" s="987"/>
      <c r="RSN47" s="987"/>
      <c r="RSO47" s="987"/>
      <c r="RSP47" s="987"/>
      <c r="RSQ47" s="987"/>
      <c r="RSR47" s="987"/>
      <c r="RSS47" s="987"/>
      <c r="RST47" s="987"/>
      <c r="RSU47" s="987"/>
      <c r="RSV47" s="987"/>
      <c r="RSW47" s="987"/>
      <c r="RSX47" s="987"/>
      <c r="RSY47" s="987"/>
      <c r="RSZ47" s="987"/>
      <c r="RTA47" s="987"/>
      <c r="RTB47" s="987"/>
      <c r="RTC47" s="987"/>
      <c r="RTD47" s="987"/>
      <c r="RTE47" s="987"/>
      <c r="RTF47" s="987"/>
      <c r="RTG47" s="987"/>
      <c r="RTH47" s="987"/>
      <c r="RTI47" s="987"/>
      <c r="RTJ47" s="987"/>
      <c r="RTK47" s="987"/>
      <c r="RTL47" s="987"/>
      <c r="RTM47" s="987"/>
      <c r="RTN47" s="987"/>
      <c r="RTO47" s="987"/>
      <c r="RTP47" s="987"/>
      <c r="RTQ47" s="987"/>
      <c r="RTR47" s="987"/>
      <c r="RTS47" s="987"/>
      <c r="RTT47" s="987"/>
      <c r="RTU47" s="987"/>
      <c r="RTV47" s="987"/>
      <c r="RTW47" s="987"/>
      <c r="RTX47" s="987"/>
      <c r="RTY47" s="987"/>
      <c r="RTZ47" s="987"/>
      <c r="RUA47" s="987"/>
      <c r="RUB47" s="987"/>
      <c r="RUC47" s="987"/>
      <c r="RUD47" s="987"/>
      <c r="RUE47" s="987"/>
      <c r="RUF47" s="987"/>
      <c r="RUG47" s="987"/>
      <c r="RUH47" s="987"/>
      <c r="RUI47" s="987"/>
      <c r="RUJ47" s="987"/>
      <c r="RUK47" s="987"/>
      <c r="RUL47" s="987"/>
      <c r="RUM47" s="987"/>
      <c r="RUN47" s="987"/>
      <c r="RUO47" s="987"/>
      <c r="RUP47" s="987"/>
      <c r="RUQ47" s="987"/>
      <c r="RUR47" s="987"/>
      <c r="RUS47" s="987"/>
      <c r="RUT47" s="987"/>
      <c r="RUU47" s="987"/>
      <c r="RUV47" s="987"/>
      <c r="RUW47" s="987"/>
      <c r="RUX47" s="987"/>
      <c r="RUY47" s="987"/>
      <c r="RUZ47" s="987"/>
      <c r="RVA47" s="987"/>
      <c r="RVB47" s="987"/>
      <c r="RVC47" s="987"/>
      <c r="RVD47" s="987"/>
      <c r="RVE47" s="987"/>
      <c r="RVF47" s="987"/>
      <c r="RVG47" s="987"/>
      <c r="RVH47" s="987"/>
      <c r="RVI47" s="987"/>
      <c r="RVJ47" s="987"/>
      <c r="RVK47" s="987"/>
      <c r="RVL47" s="987"/>
      <c r="RVM47" s="987"/>
      <c r="RVN47" s="987"/>
      <c r="RVO47" s="987"/>
      <c r="RVP47" s="987"/>
      <c r="RVQ47" s="987"/>
      <c r="RVR47" s="987"/>
      <c r="RVS47" s="987"/>
      <c r="RVT47" s="987"/>
      <c r="RVU47" s="987"/>
      <c r="RVV47" s="987"/>
      <c r="RVW47" s="987"/>
      <c r="RVX47" s="987"/>
      <c r="RVY47" s="987"/>
      <c r="RVZ47" s="987"/>
      <c r="RWA47" s="987"/>
      <c r="RWB47" s="987"/>
      <c r="RWC47" s="987"/>
      <c r="RWD47" s="987"/>
      <c r="RWE47" s="987"/>
      <c r="RWF47" s="987"/>
      <c r="RWG47" s="987"/>
      <c r="RWH47" s="987"/>
      <c r="RWI47" s="987"/>
      <c r="RWJ47" s="987"/>
      <c r="RWK47" s="987"/>
      <c r="RWL47" s="987"/>
      <c r="RWM47" s="987"/>
      <c r="RWN47" s="987"/>
      <c r="RWO47" s="987"/>
      <c r="RWP47" s="987"/>
      <c r="RWQ47" s="987"/>
      <c r="RWR47" s="987"/>
      <c r="RWS47" s="987"/>
      <c r="RWT47" s="987"/>
      <c r="RWU47" s="987"/>
      <c r="RWV47" s="987"/>
      <c r="RWW47" s="987"/>
      <c r="RWX47" s="987"/>
      <c r="RWY47" s="987"/>
      <c r="RWZ47" s="987"/>
      <c r="RXA47" s="987"/>
      <c r="RXB47" s="987"/>
      <c r="RXC47" s="987"/>
      <c r="RXD47" s="987"/>
      <c r="RXE47" s="987"/>
      <c r="RXF47" s="987"/>
      <c r="RXG47" s="987"/>
      <c r="RXH47" s="987"/>
      <c r="RXI47" s="987"/>
      <c r="RXJ47" s="987"/>
      <c r="RXK47" s="987"/>
      <c r="RXL47" s="987"/>
      <c r="RXM47" s="987"/>
      <c r="RXN47" s="987"/>
      <c r="RXO47" s="987"/>
      <c r="RXP47" s="987"/>
      <c r="RXQ47" s="987"/>
      <c r="RXR47" s="987"/>
      <c r="RXS47" s="987"/>
      <c r="RXT47" s="987"/>
      <c r="RXU47" s="987"/>
      <c r="RXV47" s="987"/>
      <c r="RXW47" s="987"/>
      <c r="RXX47" s="987"/>
      <c r="RXY47" s="987"/>
      <c r="RXZ47" s="987"/>
      <c r="RYA47" s="987"/>
      <c r="RYB47" s="987"/>
      <c r="RYC47" s="987"/>
      <c r="RYD47" s="987"/>
      <c r="RYE47" s="987"/>
      <c r="RYF47" s="987"/>
      <c r="RYG47" s="987"/>
      <c r="RYH47" s="987"/>
      <c r="RYI47" s="987"/>
      <c r="RYJ47" s="987"/>
      <c r="RYK47" s="987"/>
      <c r="RYL47" s="987"/>
      <c r="RYM47" s="987"/>
      <c r="RYN47" s="987"/>
      <c r="RYO47" s="987"/>
      <c r="RYP47" s="987"/>
      <c r="RYQ47" s="987"/>
      <c r="RYR47" s="987"/>
      <c r="RYS47" s="987"/>
      <c r="RYT47" s="987"/>
      <c r="RYU47" s="987"/>
      <c r="RYV47" s="987"/>
      <c r="RYW47" s="987"/>
      <c r="RYX47" s="987"/>
      <c r="RYY47" s="987"/>
      <c r="RYZ47" s="987"/>
      <c r="RZA47" s="987"/>
      <c r="RZB47" s="987"/>
      <c r="RZC47" s="987"/>
      <c r="RZD47" s="987"/>
      <c r="RZE47" s="987"/>
      <c r="RZF47" s="987"/>
      <c r="RZG47" s="987"/>
      <c r="RZH47" s="987"/>
      <c r="RZI47" s="987"/>
      <c r="RZJ47" s="987"/>
      <c r="RZK47" s="987"/>
      <c r="RZL47" s="987"/>
      <c r="RZM47" s="987"/>
      <c r="RZN47" s="987"/>
      <c r="RZO47" s="987"/>
      <c r="RZP47" s="987"/>
      <c r="RZQ47" s="987"/>
      <c r="RZR47" s="987"/>
      <c r="RZS47" s="987"/>
      <c r="RZT47" s="987"/>
      <c r="RZU47" s="987"/>
      <c r="RZV47" s="987"/>
      <c r="RZW47" s="987"/>
      <c r="RZX47" s="987"/>
      <c r="RZY47" s="987"/>
      <c r="RZZ47" s="987"/>
      <c r="SAA47" s="987"/>
      <c r="SAB47" s="987"/>
      <c r="SAC47" s="987"/>
      <c r="SAD47" s="987"/>
      <c r="SAE47" s="987"/>
      <c r="SAF47" s="987"/>
      <c r="SAG47" s="987"/>
      <c r="SAH47" s="987"/>
      <c r="SAI47" s="987"/>
      <c r="SAJ47" s="987"/>
      <c r="SAK47" s="987"/>
      <c r="SAL47" s="987"/>
      <c r="SAM47" s="987"/>
      <c r="SAN47" s="987"/>
      <c r="SAO47" s="987"/>
      <c r="SAP47" s="987"/>
      <c r="SAQ47" s="987"/>
      <c r="SAR47" s="987"/>
      <c r="SAS47" s="987"/>
      <c r="SAT47" s="987"/>
      <c r="SAU47" s="987"/>
      <c r="SAV47" s="987"/>
      <c r="SAW47" s="987"/>
      <c r="SAX47" s="987"/>
      <c r="SAY47" s="987"/>
      <c r="SAZ47" s="987"/>
      <c r="SBA47" s="987"/>
      <c r="SBB47" s="987"/>
      <c r="SBC47" s="987"/>
      <c r="SBD47" s="987"/>
      <c r="SBE47" s="987"/>
      <c r="SBF47" s="987"/>
      <c r="SBG47" s="987"/>
      <c r="SBH47" s="987"/>
      <c r="SBI47" s="987"/>
      <c r="SBJ47" s="987"/>
      <c r="SBK47" s="987"/>
      <c r="SBL47" s="987"/>
      <c r="SBM47" s="987"/>
      <c r="SBN47" s="987"/>
      <c r="SBO47" s="987"/>
      <c r="SBP47" s="987"/>
      <c r="SBQ47" s="987"/>
      <c r="SBR47" s="987"/>
      <c r="SBS47" s="987"/>
      <c r="SBT47" s="987"/>
      <c r="SBU47" s="987"/>
      <c r="SBV47" s="987"/>
      <c r="SBW47" s="987"/>
      <c r="SBX47" s="987"/>
      <c r="SBY47" s="987"/>
      <c r="SBZ47" s="987"/>
      <c r="SCA47" s="987"/>
      <c r="SCB47" s="987"/>
      <c r="SCC47" s="987"/>
      <c r="SCD47" s="987"/>
      <c r="SCE47" s="987"/>
      <c r="SCF47" s="987"/>
      <c r="SCG47" s="987"/>
      <c r="SCH47" s="987"/>
      <c r="SCI47" s="987"/>
      <c r="SCJ47" s="987"/>
      <c r="SCK47" s="987"/>
      <c r="SCL47" s="987"/>
      <c r="SCM47" s="987"/>
      <c r="SCN47" s="987"/>
      <c r="SCO47" s="987"/>
      <c r="SCP47" s="987"/>
      <c r="SCQ47" s="987"/>
      <c r="SCR47" s="987"/>
      <c r="SCS47" s="987"/>
      <c r="SCT47" s="987"/>
      <c r="SCU47" s="987"/>
      <c r="SCV47" s="987"/>
      <c r="SCW47" s="987"/>
      <c r="SCX47" s="987"/>
      <c r="SCY47" s="987"/>
      <c r="SCZ47" s="987"/>
      <c r="SDA47" s="987"/>
      <c r="SDB47" s="987"/>
      <c r="SDC47" s="987"/>
      <c r="SDD47" s="987"/>
      <c r="SDE47" s="987"/>
      <c r="SDF47" s="987"/>
      <c r="SDG47" s="987"/>
      <c r="SDH47" s="987"/>
      <c r="SDI47" s="987"/>
      <c r="SDJ47" s="987"/>
      <c r="SDK47" s="987"/>
      <c r="SDL47" s="987"/>
      <c r="SDM47" s="987"/>
      <c r="SDN47" s="987"/>
      <c r="SDO47" s="987"/>
      <c r="SDP47" s="987"/>
      <c r="SDQ47" s="987"/>
      <c r="SDR47" s="987"/>
      <c r="SDS47" s="987"/>
      <c r="SDT47" s="987"/>
      <c r="SDU47" s="987"/>
      <c r="SDV47" s="987"/>
      <c r="SDW47" s="987"/>
      <c r="SDX47" s="987"/>
      <c r="SDY47" s="987"/>
      <c r="SDZ47" s="987"/>
      <c r="SEA47" s="987"/>
      <c r="SEB47" s="987"/>
      <c r="SEC47" s="987"/>
      <c r="SED47" s="987"/>
      <c r="SEE47" s="987"/>
      <c r="SEF47" s="987"/>
      <c r="SEG47" s="987"/>
      <c r="SEH47" s="987"/>
      <c r="SEI47" s="987"/>
      <c r="SEJ47" s="987"/>
      <c r="SEK47" s="987"/>
      <c r="SEL47" s="987"/>
      <c r="SEM47" s="987"/>
      <c r="SEN47" s="987"/>
      <c r="SEO47" s="987"/>
      <c r="SEP47" s="987"/>
      <c r="SEQ47" s="987"/>
      <c r="SER47" s="987"/>
      <c r="SES47" s="987"/>
      <c r="SET47" s="987"/>
      <c r="SEU47" s="987"/>
      <c r="SEV47" s="987"/>
      <c r="SEW47" s="987"/>
      <c r="SEX47" s="987"/>
      <c r="SEY47" s="987"/>
      <c r="SEZ47" s="987"/>
      <c r="SFA47" s="987"/>
      <c r="SFB47" s="987"/>
      <c r="SFC47" s="987"/>
      <c r="SFD47" s="987"/>
      <c r="SFE47" s="987"/>
      <c r="SFF47" s="987"/>
      <c r="SFG47" s="987"/>
      <c r="SFH47" s="987"/>
      <c r="SFI47" s="987"/>
      <c r="SFJ47" s="987"/>
      <c r="SFK47" s="987"/>
      <c r="SFL47" s="987"/>
      <c r="SFM47" s="987"/>
      <c r="SFN47" s="987"/>
      <c r="SFO47" s="987"/>
      <c r="SFP47" s="987"/>
      <c r="SFQ47" s="987"/>
      <c r="SFR47" s="987"/>
      <c r="SFS47" s="987"/>
      <c r="SFT47" s="987"/>
      <c r="SFU47" s="987"/>
      <c r="SFV47" s="987"/>
      <c r="SFW47" s="987"/>
      <c r="SFX47" s="987"/>
      <c r="SFY47" s="987"/>
      <c r="SFZ47" s="987"/>
      <c r="SGA47" s="987"/>
      <c r="SGB47" s="987"/>
      <c r="SGC47" s="987"/>
      <c r="SGD47" s="987"/>
      <c r="SGE47" s="987"/>
      <c r="SGF47" s="987"/>
      <c r="SGG47" s="987"/>
      <c r="SGH47" s="987"/>
      <c r="SGI47" s="987"/>
      <c r="SGJ47" s="987"/>
      <c r="SGK47" s="987"/>
      <c r="SGL47" s="987"/>
      <c r="SGM47" s="987"/>
      <c r="SGN47" s="987"/>
      <c r="SGO47" s="987"/>
      <c r="SGP47" s="987"/>
      <c r="SGQ47" s="987"/>
      <c r="SGR47" s="987"/>
      <c r="SGS47" s="987"/>
      <c r="SGT47" s="987"/>
      <c r="SGU47" s="987"/>
      <c r="SGV47" s="987"/>
      <c r="SGW47" s="987"/>
      <c r="SGX47" s="987"/>
      <c r="SGY47" s="987"/>
      <c r="SGZ47" s="987"/>
      <c r="SHA47" s="987"/>
      <c r="SHB47" s="987"/>
      <c r="SHC47" s="987"/>
      <c r="SHD47" s="987"/>
      <c r="SHE47" s="987"/>
      <c r="SHF47" s="987"/>
      <c r="SHG47" s="987"/>
      <c r="SHH47" s="987"/>
      <c r="SHI47" s="987"/>
      <c r="SHJ47" s="987"/>
      <c r="SHK47" s="987"/>
      <c r="SHL47" s="987"/>
      <c r="SHM47" s="987"/>
      <c r="SHN47" s="987"/>
      <c r="SHO47" s="987"/>
      <c r="SHP47" s="987"/>
      <c r="SHQ47" s="987"/>
      <c r="SHR47" s="987"/>
      <c r="SHS47" s="987"/>
      <c r="SHT47" s="987"/>
      <c r="SHU47" s="987"/>
      <c r="SHV47" s="987"/>
      <c r="SHW47" s="987"/>
      <c r="SHX47" s="987"/>
      <c r="SHY47" s="987"/>
      <c r="SHZ47" s="987"/>
      <c r="SIA47" s="987"/>
      <c r="SIB47" s="987"/>
      <c r="SIC47" s="987"/>
      <c r="SID47" s="987"/>
      <c r="SIE47" s="987"/>
      <c r="SIF47" s="987"/>
      <c r="SIG47" s="987"/>
      <c r="SIH47" s="987"/>
      <c r="SII47" s="987"/>
      <c r="SIJ47" s="987"/>
      <c r="SIK47" s="987"/>
      <c r="SIL47" s="987"/>
      <c r="SIM47" s="987"/>
      <c r="SIN47" s="987"/>
      <c r="SIO47" s="987"/>
      <c r="SIP47" s="987"/>
      <c r="SIQ47" s="987"/>
      <c r="SIR47" s="987"/>
      <c r="SIS47" s="987"/>
      <c r="SIT47" s="987"/>
      <c r="SIU47" s="987"/>
      <c r="SIV47" s="987"/>
      <c r="SIW47" s="987"/>
      <c r="SIX47" s="987"/>
      <c r="SIY47" s="987"/>
      <c r="SIZ47" s="987"/>
      <c r="SJA47" s="987"/>
      <c r="SJB47" s="987"/>
      <c r="SJC47" s="987"/>
      <c r="SJD47" s="987"/>
      <c r="SJE47" s="987"/>
      <c r="SJF47" s="987"/>
      <c r="SJG47" s="987"/>
      <c r="SJH47" s="987"/>
      <c r="SJI47" s="987"/>
      <c r="SJJ47" s="987"/>
      <c r="SJK47" s="987"/>
      <c r="SJL47" s="987"/>
      <c r="SJM47" s="987"/>
      <c r="SJN47" s="987"/>
      <c r="SJO47" s="987"/>
      <c r="SJP47" s="987"/>
      <c r="SJQ47" s="987"/>
      <c r="SJR47" s="987"/>
      <c r="SJS47" s="987"/>
      <c r="SJT47" s="987"/>
      <c r="SJU47" s="987"/>
      <c r="SJV47" s="987"/>
      <c r="SJW47" s="987"/>
      <c r="SJX47" s="987"/>
      <c r="SJY47" s="987"/>
      <c r="SJZ47" s="987"/>
      <c r="SKA47" s="987"/>
      <c r="SKB47" s="987"/>
      <c r="SKC47" s="987"/>
      <c r="SKD47" s="987"/>
      <c r="SKE47" s="987"/>
      <c r="SKF47" s="987"/>
      <c r="SKG47" s="987"/>
      <c r="SKH47" s="987"/>
      <c r="SKI47" s="987"/>
      <c r="SKJ47" s="987"/>
      <c r="SKK47" s="987"/>
      <c r="SKL47" s="987"/>
      <c r="SKM47" s="987"/>
      <c r="SKN47" s="987"/>
      <c r="SKO47" s="987"/>
      <c r="SKP47" s="987"/>
      <c r="SKQ47" s="987"/>
      <c r="SKR47" s="987"/>
      <c r="SKS47" s="987"/>
      <c r="SKT47" s="987"/>
      <c r="SKU47" s="987"/>
      <c r="SKV47" s="987"/>
      <c r="SKW47" s="987"/>
      <c r="SKX47" s="987"/>
      <c r="SKY47" s="987"/>
      <c r="SKZ47" s="987"/>
      <c r="SLA47" s="987"/>
      <c r="SLB47" s="987"/>
      <c r="SLC47" s="987"/>
      <c r="SLD47" s="987"/>
      <c r="SLE47" s="987"/>
      <c r="SLF47" s="987"/>
      <c r="SLG47" s="987"/>
      <c r="SLH47" s="987"/>
      <c r="SLI47" s="987"/>
      <c r="SLJ47" s="987"/>
      <c r="SLK47" s="987"/>
      <c r="SLL47" s="987"/>
      <c r="SLM47" s="987"/>
      <c r="SLN47" s="987"/>
      <c r="SLO47" s="987"/>
      <c r="SLP47" s="987"/>
      <c r="SLQ47" s="987"/>
      <c r="SLR47" s="987"/>
      <c r="SLS47" s="987"/>
      <c r="SLT47" s="987"/>
      <c r="SLU47" s="987"/>
      <c r="SLV47" s="987"/>
      <c r="SLW47" s="987"/>
      <c r="SLX47" s="987"/>
      <c r="SLY47" s="987"/>
      <c r="SLZ47" s="987"/>
      <c r="SMA47" s="987"/>
      <c r="SMB47" s="987"/>
      <c r="SMC47" s="987"/>
      <c r="SMD47" s="987"/>
      <c r="SME47" s="987"/>
      <c r="SMF47" s="987"/>
      <c r="SMG47" s="987"/>
      <c r="SMH47" s="987"/>
      <c r="SMI47" s="987"/>
      <c r="SMJ47" s="987"/>
      <c r="SMK47" s="987"/>
      <c r="SML47" s="987"/>
      <c r="SMM47" s="987"/>
      <c r="SMN47" s="987"/>
      <c r="SMO47" s="987"/>
      <c r="SMP47" s="987"/>
      <c r="SMQ47" s="987"/>
      <c r="SMR47" s="987"/>
      <c r="SMS47" s="987"/>
      <c r="SMT47" s="987"/>
      <c r="SMU47" s="987"/>
      <c r="SMV47" s="987"/>
      <c r="SMW47" s="987"/>
      <c r="SMX47" s="987"/>
      <c r="SMY47" s="987"/>
      <c r="SMZ47" s="987"/>
      <c r="SNA47" s="987"/>
      <c r="SNB47" s="987"/>
      <c r="SNC47" s="987"/>
      <c r="SND47" s="987"/>
      <c r="SNE47" s="987"/>
      <c r="SNF47" s="987"/>
      <c r="SNG47" s="987"/>
      <c r="SNH47" s="987"/>
      <c r="SNI47" s="987"/>
      <c r="SNJ47" s="987"/>
      <c r="SNK47" s="987"/>
      <c r="SNL47" s="987"/>
      <c r="SNM47" s="987"/>
      <c r="SNN47" s="987"/>
      <c r="SNO47" s="987"/>
      <c r="SNP47" s="987"/>
      <c r="SNQ47" s="987"/>
      <c r="SNR47" s="987"/>
      <c r="SNS47" s="987"/>
      <c r="SNT47" s="987"/>
      <c r="SNU47" s="987"/>
      <c r="SNV47" s="987"/>
      <c r="SNW47" s="987"/>
      <c r="SNX47" s="987"/>
      <c r="SNY47" s="987"/>
      <c r="SNZ47" s="987"/>
      <c r="SOA47" s="987"/>
      <c r="SOB47" s="987"/>
      <c r="SOC47" s="987"/>
      <c r="SOD47" s="987"/>
      <c r="SOE47" s="987"/>
      <c r="SOF47" s="987"/>
      <c r="SOG47" s="987"/>
      <c r="SOH47" s="987"/>
      <c r="SOI47" s="987"/>
      <c r="SOJ47" s="987"/>
      <c r="SOK47" s="987"/>
      <c r="SOL47" s="987"/>
      <c r="SOM47" s="987"/>
      <c r="SON47" s="987"/>
      <c r="SOO47" s="987"/>
      <c r="SOP47" s="987"/>
      <c r="SOQ47" s="987"/>
      <c r="SOR47" s="987"/>
      <c r="SOS47" s="987"/>
      <c r="SOT47" s="987"/>
      <c r="SOU47" s="987"/>
      <c r="SOV47" s="987"/>
      <c r="SOW47" s="987"/>
      <c r="SOX47" s="987"/>
      <c r="SOY47" s="987"/>
      <c r="SOZ47" s="987"/>
      <c r="SPA47" s="987"/>
      <c r="SPB47" s="987"/>
      <c r="SPC47" s="987"/>
      <c r="SPD47" s="987"/>
      <c r="SPE47" s="987"/>
      <c r="SPF47" s="987"/>
      <c r="SPG47" s="987"/>
      <c r="SPH47" s="987"/>
      <c r="SPI47" s="987"/>
      <c r="SPJ47" s="987"/>
      <c r="SPK47" s="987"/>
      <c r="SPL47" s="987"/>
      <c r="SPM47" s="987"/>
      <c r="SPN47" s="987"/>
      <c r="SPO47" s="987"/>
      <c r="SPP47" s="987"/>
      <c r="SPQ47" s="987"/>
      <c r="SPR47" s="987"/>
      <c r="SPS47" s="987"/>
      <c r="SPT47" s="987"/>
      <c r="SPU47" s="987"/>
      <c r="SPV47" s="987"/>
      <c r="SPW47" s="987"/>
      <c r="SPX47" s="987"/>
      <c r="SPY47" s="987"/>
      <c r="SPZ47" s="987"/>
      <c r="SQA47" s="987"/>
      <c r="SQB47" s="987"/>
      <c r="SQC47" s="987"/>
      <c r="SQD47" s="987"/>
      <c r="SQE47" s="987"/>
      <c r="SQF47" s="987"/>
      <c r="SQG47" s="987"/>
      <c r="SQH47" s="987"/>
      <c r="SQI47" s="987"/>
      <c r="SQJ47" s="987"/>
      <c r="SQK47" s="987"/>
      <c r="SQL47" s="987"/>
      <c r="SQM47" s="987"/>
      <c r="SQN47" s="987"/>
      <c r="SQO47" s="987"/>
      <c r="SQP47" s="987"/>
      <c r="SQQ47" s="987"/>
      <c r="SQR47" s="987"/>
      <c r="SQS47" s="987"/>
      <c r="SQT47" s="987"/>
      <c r="SQU47" s="987"/>
      <c r="SQV47" s="987"/>
      <c r="SQW47" s="987"/>
      <c r="SQX47" s="987"/>
      <c r="SQY47" s="987"/>
      <c r="SQZ47" s="987"/>
      <c r="SRA47" s="987"/>
      <c r="SRB47" s="987"/>
      <c r="SRC47" s="987"/>
      <c r="SRD47" s="987"/>
      <c r="SRE47" s="987"/>
      <c r="SRF47" s="987"/>
      <c r="SRG47" s="987"/>
      <c r="SRH47" s="987"/>
      <c r="SRI47" s="987"/>
      <c r="SRJ47" s="987"/>
      <c r="SRK47" s="987"/>
      <c r="SRL47" s="987"/>
      <c r="SRM47" s="987"/>
      <c r="SRN47" s="987"/>
      <c r="SRO47" s="987"/>
      <c r="SRP47" s="987"/>
      <c r="SRQ47" s="987"/>
      <c r="SRR47" s="987"/>
      <c r="SRS47" s="987"/>
      <c r="SRT47" s="987"/>
      <c r="SRU47" s="987"/>
      <c r="SRV47" s="987"/>
      <c r="SRW47" s="987"/>
      <c r="SRX47" s="987"/>
      <c r="SRY47" s="987"/>
      <c r="SRZ47" s="987"/>
      <c r="SSA47" s="987"/>
      <c r="SSB47" s="987"/>
      <c r="SSC47" s="987"/>
      <c r="SSD47" s="987"/>
      <c r="SSE47" s="987"/>
      <c r="SSF47" s="987"/>
      <c r="SSG47" s="987"/>
      <c r="SSH47" s="987"/>
      <c r="SSI47" s="987"/>
      <c r="SSJ47" s="987"/>
      <c r="SSK47" s="987"/>
      <c r="SSL47" s="987"/>
      <c r="SSM47" s="987"/>
      <c r="SSN47" s="987"/>
      <c r="SSO47" s="987"/>
      <c r="SSP47" s="987"/>
      <c r="SSQ47" s="987"/>
      <c r="SSR47" s="987"/>
      <c r="SSS47" s="987"/>
      <c r="SST47" s="987"/>
      <c r="SSU47" s="987"/>
      <c r="SSV47" s="987"/>
      <c r="SSW47" s="987"/>
      <c r="SSX47" s="987"/>
      <c r="SSY47" s="987"/>
      <c r="SSZ47" s="987"/>
      <c r="STA47" s="987"/>
      <c r="STB47" s="987"/>
      <c r="STC47" s="987"/>
      <c r="STD47" s="987"/>
      <c r="STE47" s="987"/>
      <c r="STF47" s="987"/>
      <c r="STG47" s="987"/>
      <c r="STH47" s="987"/>
      <c r="STI47" s="987"/>
      <c r="STJ47" s="987"/>
      <c r="STK47" s="987"/>
      <c r="STL47" s="987"/>
      <c r="STM47" s="987"/>
      <c r="STN47" s="987"/>
      <c r="STO47" s="987"/>
      <c r="STP47" s="987"/>
      <c r="STQ47" s="987"/>
      <c r="STR47" s="987"/>
      <c r="STS47" s="987"/>
      <c r="STT47" s="987"/>
      <c r="STU47" s="987"/>
      <c r="STV47" s="987"/>
      <c r="STW47" s="987"/>
      <c r="STX47" s="987"/>
      <c r="STY47" s="987"/>
      <c r="STZ47" s="987"/>
      <c r="SUA47" s="987"/>
      <c r="SUB47" s="987"/>
      <c r="SUC47" s="987"/>
      <c r="SUD47" s="987"/>
      <c r="SUE47" s="987"/>
      <c r="SUF47" s="987"/>
      <c r="SUG47" s="987"/>
      <c r="SUH47" s="987"/>
      <c r="SUI47" s="987"/>
      <c r="SUJ47" s="987"/>
      <c r="SUK47" s="987"/>
      <c r="SUL47" s="987"/>
      <c r="SUM47" s="987"/>
      <c r="SUN47" s="987"/>
      <c r="SUO47" s="987"/>
      <c r="SUP47" s="987"/>
      <c r="SUQ47" s="987"/>
      <c r="SUR47" s="987"/>
      <c r="SUS47" s="987"/>
      <c r="SUT47" s="987"/>
      <c r="SUU47" s="987"/>
      <c r="SUV47" s="987"/>
      <c r="SUW47" s="987"/>
      <c r="SUX47" s="987"/>
      <c r="SUY47" s="987"/>
      <c r="SUZ47" s="987"/>
      <c r="SVA47" s="987"/>
      <c r="SVB47" s="987"/>
      <c r="SVC47" s="987"/>
      <c r="SVD47" s="987"/>
      <c r="SVE47" s="987"/>
      <c r="SVF47" s="987"/>
      <c r="SVG47" s="987"/>
      <c r="SVH47" s="987"/>
      <c r="SVI47" s="987"/>
      <c r="SVJ47" s="987"/>
      <c r="SVK47" s="987"/>
      <c r="SVL47" s="987"/>
      <c r="SVM47" s="987"/>
      <c r="SVN47" s="987"/>
      <c r="SVO47" s="987"/>
      <c r="SVP47" s="987"/>
      <c r="SVQ47" s="987"/>
      <c r="SVR47" s="987"/>
      <c r="SVS47" s="987"/>
      <c r="SVT47" s="987"/>
      <c r="SVU47" s="987"/>
      <c r="SVV47" s="987"/>
      <c r="SVW47" s="987"/>
      <c r="SVX47" s="987"/>
      <c r="SVY47" s="987"/>
      <c r="SVZ47" s="987"/>
      <c r="SWA47" s="987"/>
      <c r="SWB47" s="987"/>
      <c r="SWC47" s="987"/>
      <c r="SWD47" s="987"/>
      <c r="SWE47" s="987"/>
      <c r="SWF47" s="987"/>
      <c r="SWG47" s="987"/>
      <c r="SWH47" s="987"/>
      <c r="SWI47" s="987"/>
      <c r="SWJ47" s="987"/>
      <c r="SWK47" s="987"/>
      <c r="SWL47" s="987"/>
      <c r="SWM47" s="987"/>
      <c r="SWN47" s="987"/>
      <c r="SWO47" s="987"/>
      <c r="SWP47" s="987"/>
      <c r="SWQ47" s="987"/>
      <c r="SWR47" s="987"/>
      <c r="SWS47" s="987"/>
      <c r="SWT47" s="987"/>
      <c r="SWU47" s="987"/>
      <c r="SWV47" s="987"/>
      <c r="SWW47" s="987"/>
      <c r="SWX47" s="987"/>
      <c r="SWY47" s="987"/>
      <c r="SWZ47" s="987"/>
      <c r="SXA47" s="987"/>
      <c r="SXB47" s="987"/>
      <c r="SXC47" s="987"/>
      <c r="SXD47" s="987"/>
      <c r="SXE47" s="987"/>
      <c r="SXF47" s="987"/>
      <c r="SXG47" s="987"/>
      <c r="SXH47" s="987"/>
      <c r="SXI47" s="987"/>
      <c r="SXJ47" s="987"/>
      <c r="SXK47" s="987"/>
      <c r="SXL47" s="987"/>
      <c r="SXM47" s="987"/>
      <c r="SXN47" s="987"/>
      <c r="SXO47" s="987"/>
      <c r="SXP47" s="987"/>
      <c r="SXQ47" s="987"/>
      <c r="SXR47" s="987"/>
      <c r="SXS47" s="987"/>
      <c r="SXT47" s="987"/>
      <c r="SXU47" s="987"/>
      <c r="SXV47" s="987"/>
      <c r="SXW47" s="987"/>
      <c r="SXX47" s="987"/>
      <c r="SXY47" s="987"/>
      <c r="SXZ47" s="987"/>
      <c r="SYA47" s="987"/>
      <c r="SYB47" s="987"/>
      <c r="SYC47" s="987"/>
      <c r="SYD47" s="987"/>
      <c r="SYE47" s="987"/>
      <c r="SYF47" s="987"/>
      <c r="SYG47" s="987"/>
      <c r="SYH47" s="987"/>
      <c r="SYI47" s="987"/>
      <c r="SYJ47" s="987"/>
      <c r="SYK47" s="987"/>
      <c r="SYL47" s="987"/>
      <c r="SYM47" s="987"/>
      <c r="SYN47" s="987"/>
      <c r="SYO47" s="987"/>
      <c r="SYP47" s="987"/>
      <c r="SYQ47" s="987"/>
      <c r="SYR47" s="987"/>
      <c r="SYS47" s="987"/>
      <c r="SYT47" s="987"/>
      <c r="SYU47" s="987"/>
      <c r="SYV47" s="987"/>
      <c r="SYW47" s="987"/>
      <c r="SYX47" s="987"/>
      <c r="SYY47" s="987"/>
      <c r="SYZ47" s="987"/>
      <c r="SZA47" s="987"/>
      <c r="SZB47" s="987"/>
      <c r="SZC47" s="987"/>
      <c r="SZD47" s="987"/>
      <c r="SZE47" s="987"/>
      <c r="SZF47" s="987"/>
      <c r="SZG47" s="987"/>
      <c r="SZH47" s="987"/>
      <c r="SZI47" s="987"/>
      <c r="SZJ47" s="987"/>
      <c r="SZK47" s="987"/>
      <c r="SZL47" s="987"/>
      <c r="SZM47" s="987"/>
      <c r="SZN47" s="987"/>
      <c r="SZO47" s="987"/>
      <c r="SZP47" s="987"/>
      <c r="SZQ47" s="987"/>
      <c r="SZR47" s="987"/>
      <c r="SZS47" s="987"/>
      <c r="SZT47" s="987"/>
      <c r="SZU47" s="987"/>
      <c r="SZV47" s="987"/>
      <c r="SZW47" s="987"/>
      <c r="SZX47" s="987"/>
      <c r="SZY47" s="987"/>
      <c r="SZZ47" s="987"/>
      <c r="TAA47" s="987"/>
      <c r="TAB47" s="987"/>
      <c r="TAC47" s="987"/>
      <c r="TAD47" s="987"/>
      <c r="TAE47" s="987"/>
      <c r="TAF47" s="987"/>
      <c r="TAG47" s="987"/>
      <c r="TAH47" s="987"/>
      <c r="TAI47" s="987"/>
      <c r="TAJ47" s="987"/>
      <c r="TAK47" s="987"/>
      <c r="TAL47" s="987"/>
      <c r="TAM47" s="987"/>
      <c r="TAN47" s="987"/>
      <c r="TAO47" s="987"/>
      <c r="TAP47" s="987"/>
      <c r="TAQ47" s="987"/>
      <c r="TAR47" s="987"/>
      <c r="TAS47" s="987"/>
      <c r="TAT47" s="987"/>
      <c r="TAU47" s="987"/>
      <c r="TAV47" s="987"/>
      <c r="TAW47" s="987"/>
      <c r="TAX47" s="987"/>
      <c r="TAY47" s="987"/>
      <c r="TAZ47" s="987"/>
      <c r="TBA47" s="987"/>
      <c r="TBB47" s="987"/>
      <c r="TBC47" s="987"/>
      <c r="TBD47" s="987"/>
      <c r="TBE47" s="987"/>
      <c r="TBF47" s="987"/>
      <c r="TBG47" s="987"/>
      <c r="TBH47" s="987"/>
      <c r="TBI47" s="987"/>
      <c r="TBJ47" s="987"/>
      <c r="TBK47" s="987"/>
      <c r="TBL47" s="987"/>
      <c r="TBM47" s="987"/>
      <c r="TBN47" s="987"/>
      <c r="TBO47" s="987"/>
      <c r="TBP47" s="987"/>
      <c r="TBQ47" s="987"/>
      <c r="TBR47" s="987"/>
      <c r="TBS47" s="987"/>
      <c r="TBT47" s="987"/>
      <c r="TBU47" s="987"/>
      <c r="TBV47" s="987"/>
      <c r="TBW47" s="987"/>
      <c r="TBX47" s="987"/>
      <c r="TBY47" s="987"/>
      <c r="TBZ47" s="987"/>
      <c r="TCA47" s="987"/>
      <c r="TCB47" s="987"/>
      <c r="TCC47" s="987"/>
      <c r="TCD47" s="987"/>
      <c r="TCE47" s="987"/>
      <c r="TCF47" s="987"/>
      <c r="TCG47" s="987"/>
      <c r="TCH47" s="987"/>
      <c r="TCI47" s="987"/>
      <c r="TCJ47" s="987"/>
      <c r="TCK47" s="987"/>
      <c r="TCL47" s="987"/>
      <c r="TCM47" s="987"/>
      <c r="TCN47" s="987"/>
      <c r="TCO47" s="987"/>
      <c r="TCP47" s="987"/>
      <c r="TCQ47" s="987"/>
      <c r="TCR47" s="987"/>
      <c r="TCS47" s="987"/>
      <c r="TCT47" s="987"/>
      <c r="TCU47" s="987"/>
      <c r="TCV47" s="987"/>
      <c r="TCW47" s="987"/>
      <c r="TCX47" s="987"/>
      <c r="TCY47" s="987"/>
      <c r="TCZ47" s="987"/>
      <c r="TDA47" s="987"/>
      <c r="TDB47" s="987"/>
      <c r="TDC47" s="987"/>
      <c r="TDD47" s="987"/>
      <c r="TDE47" s="987"/>
      <c r="TDF47" s="987"/>
      <c r="TDG47" s="987"/>
      <c r="TDH47" s="987"/>
      <c r="TDI47" s="987"/>
      <c r="TDJ47" s="987"/>
      <c r="TDK47" s="987"/>
      <c r="TDL47" s="987"/>
      <c r="TDM47" s="987"/>
      <c r="TDN47" s="987"/>
      <c r="TDO47" s="987"/>
      <c r="TDP47" s="987"/>
      <c r="TDQ47" s="987"/>
      <c r="TDR47" s="987"/>
      <c r="TDS47" s="987"/>
      <c r="TDT47" s="987"/>
      <c r="TDU47" s="987"/>
      <c r="TDV47" s="987"/>
      <c r="TDW47" s="987"/>
      <c r="TDX47" s="987"/>
      <c r="TDY47" s="987"/>
      <c r="TDZ47" s="987"/>
      <c r="TEA47" s="987"/>
      <c r="TEB47" s="987"/>
      <c r="TEC47" s="987"/>
      <c r="TED47" s="987"/>
      <c r="TEE47" s="987"/>
      <c r="TEF47" s="987"/>
      <c r="TEG47" s="987"/>
      <c r="TEH47" s="987"/>
      <c r="TEI47" s="987"/>
      <c r="TEJ47" s="987"/>
      <c r="TEK47" s="987"/>
      <c r="TEL47" s="987"/>
      <c r="TEM47" s="987"/>
      <c r="TEN47" s="987"/>
      <c r="TEO47" s="987"/>
      <c r="TEP47" s="987"/>
      <c r="TEQ47" s="987"/>
      <c r="TER47" s="987"/>
      <c r="TES47" s="987"/>
      <c r="TET47" s="987"/>
      <c r="TEU47" s="987"/>
      <c r="TEV47" s="987"/>
      <c r="TEW47" s="987"/>
      <c r="TEX47" s="987"/>
      <c r="TEY47" s="987"/>
      <c r="TEZ47" s="987"/>
      <c r="TFA47" s="987"/>
      <c r="TFB47" s="987"/>
      <c r="TFC47" s="987"/>
      <c r="TFD47" s="987"/>
      <c r="TFE47" s="987"/>
      <c r="TFF47" s="987"/>
      <c r="TFG47" s="987"/>
      <c r="TFH47" s="987"/>
      <c r="TFI47" s="987"/>
      <c r="TFJ47" s="987"/>
      <c r="TFK47" s="987"/>
      <c r="TFL47" s="987"/>
      <c r="TFM47" s="987"/>
      <c r="TFN47" s="987"/>
      <c r="TFO47" s="987"/>
      <c r="TFP47" s="987"/>
      <c r="TFQ47" s="987"/>
      <c r="TFR47" s="987"/>
      <c r="TFS47" s="987"/>
      <c r="TFT47" s="987"/>
      <c r="TFU47" s="987"/>
      <c r="TFV47" s="987"/>
      <c r="TFW47" s="987"/>
      <c r="TFX47" s="987"/>
      <c r="TFY47" s="987"/>
      <c r="TFZ47" s="987"/>
      <c r="TGA47" s="987"/>
      <c r="TGB47" s="987"/>
      <c r="TGC47" s="987"/>
      <c r="TGD47" s="987"/>
      <c r="TGE47" s="987"/>
      <c r="TGF47" s="987"/>
      <c r="TGG47" s="987"/>
      <c r="TGH47" s="987"/>
      <c r="TGI47" s="987"/>
      <c r="TGJ47" s="987"/>
      <c r="TGK47" s="987"/>
      <c r="TGL47" s="987"/>
      <c r="TGM47" s="987"/>
      <c r="TGN47" s="987"/>
      <c r="TGO47" s="987"/>
      <c r="TGP47" s="987"/>
      <c r="TGQ47" s="987"/>
      <c r="TGR47" s="987"/>
      <c r="TGS47" s="987"/>
      <c r="TGT47" s="987"/>
      <c r="TGU47" s="987"/>
      <c r="TGV47" s="987"/>
      <c r="TGW47" s="987"/>
      <c r="TGX47" s="987"/>
      <c r="TGY47" s="987"/>
      <c r="TGZ47" s="987"/>
      <c r="THA47" s="987"/>
      <c r="THB47" s="987"/>
      <c r="THC47" s="987"/>
      <c r="THD47" s="987"/>
      <c r="THE47" s="987"/>
      <c r="THF47" s="987"/>
      <c r="THG47" s="987"/>
      <c r="THH47" s="987"/>
      <c r="THI47" s="987"/>
      <c r="THJ47" s="987"/>
      <c r="THK47" s="987"/>
      <c r="THL47" s="987"/>
      <c r="THM47" s="987"/>
      <c r="THN47" s="987"/>
      <c r="THO47" s="987"/>
      <c r="THP47" s="987"/>
      <c r="THQ47" s="987"/>
      <c r="THR47" s="987"/>
      <c r="THS47" s="987"/>
      <c r="THT47" s="987"/>
      <c r="THU47" s="987"/>
      <c r="THV47" s="987"/>
      <c r="THW47" s="987"/>
      <c r="THX47" s="987"/>
      <c r="THY47" s="987"/>
      <c r="THZ47" s="987"/>
      <c r="TIA47" s="987"/>
      <c r="TIB47" s="987"/>
      <c r="TIC47" s="987"/>
      <c r="TID47" s="987"/>
      <c r="TIE47" s="987"/>
      <c r="TIF47" s="987"/>
      <c r="TIG47" s="987"/>
      <c r="TIH47" s="987"/>
      <c r="TII47" s="987"/>
      <c r="TIJ47" s="987"/>
      <c r="TIK47" s="987"/>
      <c r="TIL47" s="987"/>
      <c r="TIM47" s="987"/>
      <c r="TIN47" s="987"/>
      <c r="TIO47" s="987"/>
      <c r="TIP47" s="987"/>
      <c r="TIQ47" s="987"/>
      <c r="TIR47" s="987"/>
      <c r="TIS47" s="987"/>
      <c r="TIT47" s="987"/>
      <c r="TIU47" s="987"/>
      <c r="TIV47" s="987"/>
      <c r="TIW47" s="987"/>
      <c r="TIX47" s="987"/>
      <c r="TIY47" s="987"/>
      <c r="TIZ47" s="987"/>
      <c r="TJA47" s="987"/>
      <c r="TJB47" s="987"/>
      <c r="TJC47" s="987"/>
      <c r="TJD47" s="987"/>
      <c r="TJE47" s="987"/>
      <c r="TJF47" s="987"/>
      <c r="TJG47" s="987"/>
      <c r="TJH47" s="987"/>
      <c r="TJI47" s="987"/>
      <c r="TJJ47" s="987"/>
      <c r="TJK47" s="987"/>
      <c r="TJL47" s="987"/>
      <c r="TJM47" s="987"/>
      <c r="TJN47" s="987"/>
      <c r="TJO47" s="987"/>
      <c r="TJP47" s="987"/>
      <c r="TJQ47" s="987"/>
      <c r="TJR47" s="987"/>
      <c r="TJS47" s="987"/>
      <c r="TJT47" s="987"/>
      <c r="TJU47" s="987"/>
      <c r="TJV47" s="987"/>
      <c r="TJW47" s="987"/>
      <c r="TJX47" s="987"/>
      <c r="TJY47" s="987"/>
      <c r="TJZ47" s="987"/>
      <c r="TKA47" s="987"/>
      <c r="TKB47" s="987"/>
      <c r="TKC47" s="987"/>
      <c r="TKD47" s="987"/>
      <c r="TKE47" s="987"/>
      <c r="TKF47" s="987"/>
      <c r="TKG47" s="987"/>
      <c r="TKH47" s="987"/>
      <c r="TKI47" s="987"/>
      <c r="TKJ47" s="987"/>
      <c r="TKK47" s="987"/>
      <c r="TKL47" s="987"/>
      <c r="TKM47" s="987"/>
      <c r="TKN47" s="987"/>
      <c r="TKO47" s="987"/>
      <c r="TKP47" s="987"/>
      <c r="TKQ47" s="987"/>
      <c r="TKR47" s="987"/>
      <c r="TKS47" s="987"/>
      <c r="TKT47" s="987"/>
      <c r="TKU47" s="987"/>
      <c r="TKV47" s="987"/>
      <c r="TKW47" s="987"/>
      <c r="TKX47" s="987"/>
      <c r="TKY47" s="987"/>
      <c r="TKZ47" s="987"/>
      <c r="TLA47" s="987"/>
      <c r="TLB47" s="987"/>
      <c r="TLC47" s="987"/>
      <c r="TLD47" s="987"/>
      <c r="TLE47" s="987"/>
      <c r="TLF47" s="987"/>
      <c r="TLG47" s="987"/>
      <c r="TLH47" s="987"/>
      <c r="TLI47" s="987"/>
      <c r="TLJ47" s="987"/>
      <c r="TLK47" s="987"/>
      <c r="TLL47" s="987"/>
      <c r="TLM47" s="987"/>
      <c r="TLN47" s="987"/>
      <c r="TLO47" s="987"/>
      <c r="TLP47" s="987"/>
      <c r="TLQ47" s="987"/>
      <c r="TLR47" s="987"/>
      <c r="TLS47" s="987"/>
      <c r="TLT47" s="987"/>
      <c r="TLU47" s="987"/>
      <c r="TLV47" s="987"/>
      <c r="TLW47" s="987"/>
      <c r="TLX47" s="987"/>
      <c r="TLY47" s="987"/>
      <c r="TLZ47" s="987"/>
      <c r="TMA47" s="987"/>
      <c r="TMB47" s="987"/>
      <c r="TMC47" s="987"/>
      <c r="TMD47" s="987"/>
      <c r="TME47" s="987"/>
      <c r="TMF47" s="987"/>
      <c r="TMG47" s="987"/>
      <c r="TMH47" s="987"/>
      <c r="TMI47" s="987"/>
      <c r="TMJ47" s="987"/>
      <c r="TMK47" s="987"/>
      <c r="TML47" s="987"/>
      <c r="TMM47" s="987"/>
      <c r="TMN47" s="987"/>
      <c r="TMO47" s="987"/>
      <c r="TMP47" s="987"/>
      <c r="TMQ47" s="987"/>
      <c r="TMR47" s="987"/>
      <c r="TMS47" s="987"/>
      <c r="TMT47" s="987"/>
      <c r="TMU47" s="987"/>
      <c r="TMV47" s="987"/>
      <c r="TMW47" s="987"/>
      <c r="TMX47" s="987"/>
      <c r="TMY47" s="987"/>
      <c r="TMZ47" s="987"/>
      <c r="TNA47" s="987"/>
      <c r="TNB47" s="987"/>
      <c r="TNC47" s="987"/>
      <c r="TND47" s="987"/>
      <c r="TNE47" s="987"/>
      <c r="TNF47" s="987"/>
      <c r="TNG47" s="987"/>
      <c r="TNH47" s="987"/>
      <c r="TNI47" s="987"/>
      <c r="TNJ47" s="987"/>
      <c r="TNK47" s="987"/>
      <c r="TNL47" s="987"/>
      <c r="TNM47" s="987"/>
      <c r="TNN47" s="987"/>
      <c r="TNO47" s="987"/>
      <c r="TNP47" s="987"/>
      <c r="TNQ47" s="987"/>
      <c r="TNR47" s="987"/>
      <c r="TNS47" s="987"/>
      <c r="TNT47" s="987"/>
      <c r="TNU47" s="987"/>
      <c r="TNV47" s="987"/>
      <c r="TNW47" s="987"/>
      <c r="TNX47" s="987"/>
      <c r="TNY47" s="987"/>
      <c r="TNZ47" s="987"/>
      <c r="TOA47" s="987"/>
      <c r="TOB47" s="987"/>
      <c r="TOC47" s="987"/>
      <c r="TOD47" s="987"/>
      <c r="TOE47" s="987"/>
      <c r="TOF47" s="987"/>
      <c r="TOG47" s="987"/>
      <c r="TOH47" s="987"/>
      <c r="TOI47" s="987"/>
      <c r="TOJ47" s="987"/>
      <c r="TOK47" s="987"/>
      <c r="TOL47" s="987"/>
      <c r="TOM47" s="987"/>
      <c r="TON47" s="987"/>
      <c r="TOO47" s="987"/>
      <c r="TOP47" s="987"/>
      <c r="TOQ47" s="987"/>
      <c r="TOR47" s="987"/>
      <c r="TOS47" s="987"/>
      <c r="TOT47" s="987"/>
      <c r="TOU47" s="987"/>
      <c r="TOV47" s="987"/>
      <c r="TOW47" s="987"/>
      <c r="TOX47" s="987"/>
      <c r="TOY47" s="987"/>
      <c r="TOZ47" s="987"/>
      <c r="TPA47" s="987"/>
      <c r="TPB47" s="987"/>
      <c r="TPC47" s="987"/>
      <c r="TPD47" s="987"/>
      <c r="TPE47" s="987"/>
      <c r="TPF47" s="987"/>
      <c r="TPG47" s="987"/>
      <c r="TPH47" s="987"/>
      <c r="TPI47" s="987"/>
      <c r="TPJ47" s="987"/>
      <c r="TPK47" s="987"/>
      <c r="TPL47" s="987"/>
      <c r="TPM47" s="987"/>
      <c r="TPN47" s="987"/>
      <c r="TPO47" s="987"/>
      <c r="TPP47" s="987"/>
      <c r="TPQ47" s="987"/>
      <c r="TPR47" s="987"/>
      <c r="TPS47" s="987"/>
      <c r="TPT47" s="987"/>
      <c r="TPU47" s="987"/>
      <c r="TPV47" s="987"/>
      <c r="TPW47" s="987"/>
      <c r="TPX47" s="987"/>
      <c r="TPY47" s="987"/>
      <c r="TPZ47" s="987"/>
      <c r="TQA47" s="987"/>
      <c r="TQB47" s="987"/>
      <c r="TQC47" s="987"/>
      <c r="TQD47" s="987"/>
      <c r="TQE47" s="987"/>
      <c r="TQF47" s="987"/>
      <c r="TQG47" s="987"/>
      <c r="TQH47" s="987"/>
      <c r="TQI47" s="987"/>
      <c r="TQJ47" s="987"/>
      <c r="TQK47" s="987"/>
      <c r="TQL47" s="987"/>
      <c r="TQM47" s="987"/>
      <c r="TQN47" s="987"/>
      <c r="TQO47" s="987"/>
      <c r="TQP47" s="987"/>
      <c r="TQQ47" s="987"/>
      <c r="TQR47" s="987"/>
      <c r="TQS47" s="987"/>
      <c r="TQT47" s="987"/>
      <c r="TQU47" s="987"/>
      <c r="TQV47" s="987"/>
      <c r="TQW47" s="987"/>
      <c r="TQX47" s="987"/>
      <c r="TQY47" s="987"/>
      <c r="TQZ47" s="987"/>
      <c r="TRA47" s="987"/>
      <c r="TRB47" s="987"/>
      <c r="TRC47" s="987"/>
      <c r="TRD47" s="987"/>
      <c r="TRE47" s="987"/>
      <c r="TRF47" s="987"/>
      <c r="TRG47" s="987"/>
      <c r="TRH47" s="987"/>
      <c r="TRI47" s="987"/>
      <c r="TRJ47" s="987"/>
      <c r="TRK47" s="987"/>
      <c r="TRL47" s="987"/>
      <c r="TRM47" s="987"/>
      <c r="TRN47" s="987"/>
      <c r="TRO47" s="987"/>
      <c r="TRP47" s="987"/>
      <c r="TRQ47" s="987"/>
      <c r="TRR47" s="987"/>
      <c r="TRS47" s="987"/>
      <c r="TRT47" s="987"/>
      <c r="TRU47" s="987"/>
      <c r="TRV47" s="987"/>
      <c r="TRW47" s="987"/>
      <c r="TRX47" s="987"/>
      <c r="TRY47" s="987"/>
      <c r="TRZ47" s="987"/>
      <c r="TSA47" s="987"/>
      <c r="TSB47" s="987"/>
      <c r="TSC47" s="987"/>
      <c r="TSD47" s="987"/>
      <c r="TSE47" s="987"/>
      <c r="TSF47" s="987"/>
      <c r="TSG47" s="987"/>
      <c r="TSH47" s="987"/>
      <c r="TSI47" s="987"/>
      <c r="TSJ47" s="987"/>
      <c r="TSK47" s="987"/>
      <c r="TSL47" s="987"/>
      <c r="TSM47" s="987"/>
      <c r="TSN47" s="987"/>
      <c r="TSO47" s="987"/>
      <c r="TSP47" s="987"/>
      <c r="TSQ47" s="987"/>
      <c r="TSR47" s="987"/>
      <c r="TSS47" s="987"/>
      <c r="TST47" s="987"/>
      <c r="TSU47" s="987"/>
      <c r="TSV47" s="987"/>
      <c r="TSW47" s="987"/>
      <c r="TSX47" s="987"/>
      <c r="TSY47" s="987"/>
      <c r="TSZ47" s="987"/>
      <c r="TTA47" s="987"/>
      <c r="TTB47" s="987"/>
      <c r="TTC47" s="987"/>
      <c r="TTD47" s="987"/>
      <c r="TTE47" s="987"/>
      <c r="TTF47" s="987"/>
      <c r="TTG47" s="987"/>
      <c r="TTH47" s="987"/>
      <c r="TTI47" s="987"/>
      <c r="TTJ47" s="987"/>
      <c r="TTK47" s="987"/>
      <c r="TTL47" s="987"/>
      <c r="TTM47" s="987"/>
      <c r="TTN47" s="987"/>
      <c r="TTO47" s="987"/>
      <c r="TTP47" s="987"/>
      <c r="TTQ47" s="987"/>
      <c r="TTR47" s="987"/>
      <c r="TTS47" s="987"/>
      <c r="TTT47" s="987"/>
      <c r="TTU47" s="987"/>
      <c r="TTV47" s="987"/>
      <c r="TTW47" s="987"/>
      <c r="TTX47" s="987"/>
      <c r="TTY47" s="987"/>
      <c r="TTZ47" s="987"/>
      <c r="TUA47" s="987"/>
      <c r="TUB47" s="987"/>
      <c r="TUC47" s="987"/>
      <c r="TUD47" s="987"/>
      <c r="TUE47" s="987"/>
      <c r="TUF47" s="987"/>
      <c r="TUG47" s="987"/>
      <c r="TUH47" s="987"/>
      <c r="TUI47" s="987"/>
      <c r="TUJ47" s="987"/>
      <c r="TUK47" s="987"/>
      <c r="TUL47" s="987"/>
      <c r="TUM47" s="987"/>
      <c r="TUN47" s="987"/>
      <c r="TUO47" s="987"/>
      <c r="TUP47" s="987"/>
      <c r="TUQ47" s="987"/>
      <c r="TUR47" s="987"/>
      <c r="TUS47" s="987"/>
      <c r="TUT47" s="987"/>
      <c r="TUU47" s="987"/>
      <c r="TUV47" s="987"/>
      <c r="TUW47" s="987"/>
      <c r="TUX47" s="987"/>
      <c r="TUY47" s="987"/>
      <c r="TUZ47" s="987"/>
      <c r="TVA47" s="987"/>
      <c r="TVB47" s="987"/>
      <c r="TVC47" s="987"/>
      <c r="TVD47" s="987"/>
      <c r="TVE47" s="987"/>
      <c r="TVF47" s="987"/>
      <c r="TVG47" s="987"/>
      <c r="TVH47" s="987"/>
      <c r="TVI47" s="987"/>
      <c r="TVJ47" s="987"/>
      <c r="TVK47" s="987"/>
      <c r="TVL47" s="987"/>
      <c r="TVM47" s="987"/>
      <c r="TVN47" s="987"/>
      <c r="TVO47" s="987"/>
      <c r="TVP47" s="987"/>
      <c r="TVQ47" s="987"/>
      <c r="TVR47" s="987"/>
      <c r="TVS47" s="987"/>
      <c r="TVT47" s="987"/>
      <c r="TVU47" s="987"/>
      <c r="TVV47" s="987"/>
      <c r="TVW47" s="987"/>
      <c r="TVX47" s="987"/>
      <c r="TVY47" s="987"/>
      <c r="TVZ47" s="987"/>
      <c r="TWA47" s="987"/>
      <c r="TWB47" s="987"/>
      <c r="TWC47" s="987"/>
      <c r="TWD47" s="987"/>
      <c r="TWE47" s="987"/>
      <c r="TWF47" s="987"/>
      <c r="TWG47" s="987"/>
      <c r="TWH47" s="987"/>
      <c r="TWI47" s="987"/>
      <c r="TWJ47" s="987"/>
      <c r="TWK47" s="987"/>
      <c r="TWL47" s="987"/>
      <c r="TWM47" s="987"/>
      <c r="TWN47" s="987"/>
      <c r="TWO47" s="987"/>
      <c r="TWP47" s="987"/>
      <c r="TWQ47" s="987"/>
      <c r="TWR47" s="987"/>
      <c r="TWS47" s="987"/>
      <c r="TWT47" s="987"/>
      <c r="TWU47" s="987"/>
      <c r="TWV47" s="987"/>
      <c r="TWW47" s="987"/>
      <c r="TWX47" s="987"/>
      <c r="TWY47" s="987"/>
      <c r="TWZ47" s="987"/>
      <c r="TXA47" s="987"/>
      <c r="TXB47" s="987"/>
      <c r="TXC47" s="987"/>
      <c r="TXD47" s="987"/>
      <c r="TXE47" s="987"/>
      <c r="TXF47" s="987"/>
      <c r="TXG47" s="987"/>
      <c r="TXH47" s="987"/>
      <c r="TXI47" s="987"/>
      <c r="TXJ47" s="987"/>
      <c r="TXK47" s="987"/>
      <c r="TXL47" s="987"/>
      <c r="TXM47" s="987"/>
      <c r="TXN47" s="987"/>
      <c r="TXO47" s="987"/>
      <c r="TXP47" s="987"/>
      <c r="TXQ47" s="987"/>
      <c r="TXR47" s="987"/>
      <c r="TXS47" s="987"/>
      <c r="TXT47" s="987"/>
      <c r="TXU47" s="987"/>
      <c r="TXV47" s="987"/>
      <c r="TXW47" s="987"/>
      <c r="TXX47" s="987"/>
      <c r="TXY47" s="987"/>
      <c r="TXZ47" s="987"/>
      <c r="TYA47" s="987"/>
      <c r="TYB47" s="987"/>
      <c r="TYC47" s="987"/>
      <c r="TYD47" s="987"/>
      <c r="TYE47" s="987"/>
      <c r="TYF47" s="987"/>
      <c r="TYG47" s="987"/>
      <c r="TYH47" s="987"/>
      <c r="TYI47" s="987"/>
      <c r="TYJ47" s="987"/>
      <c r="TYK47" s="987"/>
      <c r="TYL47" s="987"/>
      <c r="TYM47" s="987"/>
      <c r="TYN47" s="987"/>
      <c r="TYO47" s="987"/>
      <c r="TYP47" s="987"/>
      <c r="TYQ47" s="987"/>
      <c r="TYR47" s="987"/>
      <c r="TYS47" s="987"/>
      <c r="TYT47" s="987"/>
      <c r="TYU47" s="987"/>
      <c r="TYV47" s="987"/>
      <c r="TYW47" s="987"/>
      <c r="TYX47" s="987"/>
      <c r="TYY47" s="987"/>
      <c r="TYZ47" s="987"/>
      <c r="TZA47" s="987"/>
      <c r="TZB47" s="987"/>
      <c r="TZC47" s="987"/>
      <c r="TZD47" s="987"/>
      <c r="TZE47" s="987"/>
      <c r="TZF47" s="987"/>
      <c r="TZG47" s="987"/>
      <c r="TZH47" s="987"/>
      <c r="TZI47" s="987"/>
      <c r="TZJ47" s="987"/>
      <c r="TZK47" s="987"/>
      <c r="TZL47" s="987"/>
      <c r="TZM47" s="987"/>
      <c r="TZN47" s="987"/>
      <c r="TZO47" s="987"/>
      <c r="TZP47" s="987"/>
      <c r="TZQ47" s="987"/>
      <c r="TZR47" s="987"/>
      <c r="TZS47" s="987"/>
      <c r="TZT47" s="987"/>
      <c r="TZU47" s="987"/>
      <c r="TZV47" s="987"/>
      <c r="TZW47" s="987"/>
      <c r="TZX47" s="987"/>
      <c r="TZY47" s="987"/>
      <c r="TZZ47" s="987"/>
      <c r="UAA47" s="987"/>
      <c r="UAB47" s="987"/>
      <c r="UAC47" s="987"/>
      <c r="UAD47" s="987"/>
      <c r="UAE47" s="987"/>
      <c r="UAF47" s="987"/>
      <c r="UAG47" s="987"/>
      <c r="UAH47" s="987"/>
      <c r="UAI47" s="987"/>
      <c r="UAJ47" s="987"/>
      <c r="UAK47" s="987"/>
      <c r="UAL47" s="987"/>
      <c r="UAM47" s="987"/>
      <c r="UAN47" s="987"/>
      <c r="UAO47" s="987"/>
      <c r="UAP47" s="987"/>
      <c r="UAQ47" s="987"/>
      <c r="UAR47" s="987"/>
      <c r="UAS47" s="987"/>
      <c r="UAT47" s="987"/>
      <c r="UAU47" s="987"/>
      <c r="UAV47" s="987"/>
      <c r="UAW47" s="987"/>
      <c r="UAX47" s="987"/>
      <c r="UAY47" s="987"/>
      <c r="UAZ47" s="987"/>
      <c r="UBA47" s="987"/>
      <c r="UBB47" s="987"/>
      <c r="UBC47" s="987"/>
      <c r="UBD47" s="987"/>
      <c r="UBE47" s="987"/>
      <c r="UBF47" s="987"/>
      <c r="UBG47" s="987"/>
      <c r="UBH47" s="987"/>
      <c r="UBI47" s="987"/>
      <c r="UBJ47" s="987"/>
      <c r="UBK47" s="987"/>
      <c r="UBL47" s="987"/>
      <c r="UBM47" s="987"/>
      <c r="UBN47" s="987"/>
      <c r="UBO47" s="987"/>
      <c r="UBP47" s="987"/>
      <c r="UBQ47" s="987"/>
      <c r="UBR47" s="987"/>
      <c r="UBS47" s="987"/>
      <c r="UBT47" s="987"/>
      <c r="UBU47" s="987"/>
      <c r="UBV47" s="987"/>
      <c r="UBW47" s="987"/>
      <c r="UBX47" s="987"/>
      <c r="UBY47" s="987"/>
      <c r="UBZ47" s="987"/>
      <c r="UCA47" s="987"/>
      <c r="UCB47" s="987"/>
      <c r="UCC47" s="987"/>
      <c r="UCD47" s="987"/>
      <c r="UCE47" s="987"/>
      <c r="UCF47" s="987"/>
      <c r="UCG47" s="987"/>
      <c r="UCH47" s="987"/>
      <c r="UCI47" s="987"/>
      <c r="UCJ47" s="987"/>
      <c r="UCK47" s="987"/>
      <c r="UCL47" s="987"/>
      <c r="UCM47" s="987"/>
      <c r="UCN47" s="987"/>
      <c r="UCO47" s="987"/>
      <c r="UCP47" s="987"/>
      <c r="UCQ47" s="987"/>
      <c r="UCR47" s="987"/>
      <c r="UCS47" s="987"/>
      <c r="UCT47" s="987"/>
      <c r="UCU47" s="987"/>
      <c r="UCV47" s="987"/>
      <c r="UCW47" s="987"/>
      <c r="UCX47" s="987"/>
      <c r="UCY47" s="987"/>
      <c r="UCZ47" s="987"/>
      <c r="UDA47" s="987"/>
      <c r="UDB47" s="987"/>
      <c r="UDC47" s="987"/>
      <c r="UDD47" s="987"/>
      <c r="UDE47" s="987"/>
      <c r="UDF47" s="987"/>
      <c r="UDG47" s="987"/>
      <c r="UDH47" s="987"/>
      <c r="UDI47" s="987"/>
      <c r="UDJ47" s="987"/>
      <c r="UDK47" s="987"/>
      <c r="UDL47" s="987"/>
      <c r="UDM47" s="987"/>
      <c r="UDN47" s="987"/>
      <c r="UDO47" s="987"/>
      <c r="UDP47" s="987"/>
      <c r="UDQ47" s="987"/>
      <c r="UDR47" s="987"/>
      <c r="UDS47" s="987"/>
      <c r="UDT47" s="987"/>
      <c r="UDU47" s="987"/>
      <c r="UDV47" s="987"/>
      <c r="UDW47" s="987"/>
      <c r="UDX47" s="987"/>
      <c r="UDY47" s="987"/>
      <c r="UDZ47" s="987"/>
      <c r="UEA47" s="987"/>
      <c r="UEB47" s="987"/>
      <c r="UEC47" s="987"/>
      <c r="UED47" s="987"/>
      <c r="UEE47" s="987"/>
      <c r="UEF47" s="987"/>
      <c r="UEG47" s="987"/>
      <c r="UEH47" s="987"/>
      <c r="UEI47" s="987"/>
      <c r="UEJ47" s="987"/>
      <c r="UEK47" s="987"/>
      <c r="UEL47" s="987"/>
      <c r="UEM47" s="987"/>
      <c r="UEN47" s="987"/>
      <c r="UEO47" s="987"/>
      <c r="UEP47" s="987"/>
      <c r="UEQ47" s="987"/>
      <c r="UER47" s="987"/>
      <c r="UES47" s="987"/>
      <c r="UET47" s="987"/>
      <c r="UEU47" s="987"/>
      <c r="UEV47" s="987"/>
      <c r="UEW47" s="987"/>
      <c r="UEX47" s="987"/>
      <c r="UEY47" s="987"/>
      <c r="UEZ47" s="987"/>
      <c r="UFA47" s="987"/>
      <c r="UFB47" s="987"/>
      <c r="UFC47" s="987"/>
      <c r="UFD47" s="987"/>
      <c r="UFE47" s="987"/>
      <c r="UFF47" s="987"/>
      <c r="UFG47" s="987"/>
      <c r="UFH47" s="987"/>
      <c r="UFI47" s="987"/>
      <c r="UFJ47" s="987"/>
      <c r="UFK47" s="987"/>
      <c r="UFL47" s="987"/>
      <c r="UFM47" s="987"/>
      <c r="UFN47" s="987"/>
      <c r="UFO47" s="987"/>
      <c r="UFP47" s="987"/>
      <c r="UFQ47" s="987"/>
      <c r="UFR47" s="987"/>
      <c r="UFS47" s="987"/>
      <c r="UFT47" s="987"/>
      <c r="UFU47" s="987"/>
      <c r="UFV47" s="987"/>
      <c r="UFW47" s="987"/>
      <c r="UFX47" s="987"/>
      <c r="UFY47" s="987"/>
      <c r="UFZ47" s="987"/>
      <c r="UGA47" s="987"/>
      <c r="UGB47" s="987"/>
      <c r="UGC47" s="987"/>
      <c r="UGD47" s="987"/>
      <c r="UGE47" s="987"/>
      <c r="UGF47" s="987"/>
      <c r="UGG47" s="987"/>
      <c r="UGH47" s="987"/>
      <c r="UGI47" s="987"/>
      <c r="UGJ47" s="987"/>
      <c r="UGK47" s="987"/>
      <c r="UGL47" s="987"/>
      <c r="UGM47" s="987"/>
      <c r="UGN47" s="987"/>
      <c r="UGO47" s="987"/>
      <c r="UGP47" s="987"/>
      <c r="UGQ47" s="987"/>
      <c r="UGR47" s="987"/>
      <c r="UGS47" s="987"/>
      <c r="UGT47" s="987"/>
      <c r="UGU47" s="987"/>
      <c r="UGV47" s="987"/>
      <c r="UGW47" s="987"/>
      <c r="UGX47" s="987"/>
      <c r="UGY47" s="987"/>
      <c r="UGZ47" s="987"/>
      <c r="UHA47" s="987"/>
      <c r="UHB47" s="987"/>
      <c r="UHC47" s="987"/>
      <c r="UHD47" s="987"/>
      <c r="UHE47" s="987"/>
      <c r="UHF47" s="987"/>
      <c r="UHG47" s="987"/>
      <c r="UHH47" s="987"/>
      <c r="UHI47" s="987"/>
      <c r="UHJ47" s="987"/>
      <c r="UHK47" s="987"/>
      <c r="UHL47" s="987"/>
      <c r="UHM47" s="987"/>
      <c r="UHN47" s="987"/>
      <c r="UHO47" s="987"/>
      <c r="UHP47" s="987"/>
      <c r="UHQ47" s="987"/>
      <c r="UHR47" s="987"/>
      <c r="UHS47" s="987"/>
      <c r="UHT47" s="987"/>
      <c r="UHU47" s="987"/>
      <c r="UHV47" s="987"/>
      <c r="UHW47" s="987"/>
      <c r="UHX47" s="987"/>
      <c r="UHY47" s="987"/>
      <c r="UHZ47" s="987"/>
      <c r="UIA47" s="987"/>
      <c r="UIB47" s="987"/>
      <c r="UIC47" s="987"/>
      <c r="UID47" s="987"/>
      <c r="UIE47" s="987"/>
      <c r="UIF47" s="987"/>
      <c r="UIG47" s="987"/>
      <c r="UIH47" s="987"/>
      <c r="UII47" s="987"/>
      <c r="UIJ47" s="987"/>
      <c r="UIK47" s="987"/>
      <c r="UIL47" s="987"/>
      <c r="UIM47" s="987"/>
      <c r="UIN47" s="987"/>
      <c r="UIO47" s="987"/>
      <c r="UIP47" s="987"/>
      <c r="UIQ47" s="987"/>
      <c r="UIR47" s="987"/>
      <c r="UIS47" s="987"/>
      <c r="UIT47" s="987"/>
      <c r="UIU47" s="987"/>
      <c r="UIV47" s="987"/>
      <c r="UIW47" s="987"/>
      <c r="UIX47" s="987"/>
      <c r="UIY47" s="987"/>
      <c r="UIZ47" s="987"/>
      <c r="UJA47" s="987"/>
      <c r="UJB47" s="987"/>
      <c r="UJC47" s="987"/>
      <c r="UJD47" s="987"/>
      <c r="UJE47" s="987"/>
      <c r="UJF47" s="987"/>
      <c r="UJG47" s="987"/>
      <c r="UJH47" s="987"/>
      <c r="UJI47" s="987"/>
      <c r="UJJ47" s="987"/>
      <c r="UJK47" s="987"/>
      <c r="UJL47" s="987"/>
      <c r="UJM47" s="987"/>
      <c r="UJN47" s="987"/>
      <c r="UJO47" s="987"/>
      <c r="UJP47" s="987"/>
      <c r="UJQ47" s="987"/>
      <c r="UJR47" s="987"/>
      <c r="UJS47" s="987"/>
      <c r="UJT47" s="987"/>
      <c r="UJU47" s="987"/>
      <c r="UJV47" s="987"/>
      <c r="UJW47" s="987"/>
      <c r="UJX47" s="987"/>
      <c r="UJY47" s="987"/>
      <c r="UJZ47" s="987"/>
      <c r="UKA47" s="987"/>
      <c r="UKB47" s="987"/>
      <c r="UKC47" s="987"/>
      <c r="UKD47" s="987"/>
      <c r="UKE47" s="987"/>
      <c r="UKF47" s="987"/>
      <c r="UKG47" s="987"/>
      <c r="UKH47" s="987"/>
      <c r="UKI47" s="987"/>
      <c r="UKJ47" s="987"/>
      <c r="UKK47" s="987"/>
      <c r="UKL47" s="987"/>
      <c r="UKM47" s="987"/>
      <c r="UKN47" s="987"/>
      <c r="UKO47" s="987"/>
      <c r="UKP47" s="987"/>
      <c r="UKQ47" s="987"/>
      <c r="UKR47" s="987"/>
      <c r="UKS47" s="987"/>
      <c r="UKT47" s="987"/>
      <c r="UKU47" s="987"/>
      <c r="UKV47" s="987"/>
      <c r="UKW47" s="987"/>
      <c r="UKX47" s="987"/>
      <c r="UKY47" s="987"/>
      <c r="UKZ47" s="987"/>
      <c r="ULA47" s="987"/>
      <c r="ULB47" s="987"/>
      <c r="ULC47" s="987"/>
      <c r="ULD47" s="987"/>
      <c r="ULE47" s="987"/>
      <c r="ULF47" s="987"/>
      <c r="ULG47" s="987"/>
      <c r="ULH47" s="987"/>
      <c r="ULI47" s="987"/>
      <c r="ULJ47" s="987"/>
      <c r="ULK47" s="987"/>
      <c r="ULL47" s="987"/>
      <c r="ULM47" s="987"/>
      <c r="ULN47" s="987"/>
      <c r="ULO47" s="987"/>
      <c r="ULP47" s="987"/>
      <c r="ULQ47" s="987"/>
      <c r="ULR47" s="987"/>
      <c r="ULS47" s="987"/>
      <c r="ULT47" s="987"/>
      <c r="ULU47" s="987"/>
      <c r="ULV47" s="987"/>
      <c r="ULW47" s="987"/>
      <c r="ULX47" s="987"/>
      <c r="ULY47" s="987"/>
      <c r="ULZ47" s="987"/>
      <c r="UMA47" s="987"/>
      <c r="UMB47" s="987"/>
      <c r="UMC47" s="987"/>
      <c r="UMD47" s="987"/>
      <c r="UME47" s="987"/>
      <c r="UMF47" s="987"/>
      <c r="UMG47" s="987"/>
      <c r="UMH47" s="987"/>
      <c r="UMI47" s="987"/>
      <c r="UMJ47" s="987"/>
      <c r="UMK47" s="987"/>
      <c r="UML47" s="987"/>
      <c r="UMM47" s="987"/>
      <c r="UMN47" s="987"/>
      <c r="UMO47" s="987"/>
      <c r="UMP47" s="987"/>
      <c r="UMQ47" s="987"/>
      <c r="UMR47" s="987"/>
      <c r="UMS47" s="987"/>
      <c r="UMT47" s="987"/>
      <c r="UMU47" s="987"/>
      <c r="UMV47" s="987"/>
      <c r="UMW47" s="987"/>
      <c r="UMX47" s="987"/>
      <c r="UMY47" s="987"/>
      <c r="UMZ47" s="987"/>
      <c r="UNA47" s="987"/>
      <c r="UNB47" s="987"/>
      <c r="UNC47" s="987"/>
      <c r="UND47" s="987"/>
      <c r="UNE47" s="987"/>
      <c r="UNF47" s="987"/>
      <c r="UNG47" s="987"/>
      <c r="UNH47" s="987"/>
      <c r="UNI47" s="987"/>
      <c r="UNJ47" s="987"/>
      <c r="UNK47" s="987"/>
      <c r="UNL47" s="987"/>
      <c r="UNM47" s="987"/>
      <c r="UNN47" s="987"/>
      <c r="UNO47" s="987"/>
      <c r="UNP47" s="987"/>
      <c r="UNQ47" s="987"/>
      <c r="UNR47" s="987"/>
      <c r="UNS47" s="987"/>
      <c r="UNT47" s="987"/>
      <c r="UNU47" s="987"/>
      <c r="UNV47" s="987"/>
      <c r="UNW47" s="987"/>
      <c r="UNX47" s="987"/>
      <c r="UNY47" s="987"/>
      <c r="UNZ47" s="987"/>
      <c r="UOA47" s="987"/>
      <c r="UOB47" s="987"/>
      <c r="UOC47" s="987"/>
      <c r="UOD47" s="987"/>
      <c r="UOE47" s="987"/>
      <c r="UOF47" s="987"/>
      <c r="UOG47" s="987"/>
      <c r="UOH47" s="987"/>
      <c r="UOI47" s="987"/>
      <c r="UOJ47" s="987"/>
      <c r="UOK47" s="987"/>
      <c r="UOL47" s="987"/>
      <c r="UOM47" s="987"/>
      <c r="UON47" s="987"/>
      <c r="UOO47" s="987"/>
      <c r="UOP47" s="987"/>
      <c r="UOQ47" s="987"/>
      <c r="UOR47" s="987"/>
      <c r="UOS47" s="987"/>
      <c r="UOT47" s="987"/>
      <c r="UOU47" s="987"/>
      <c r="UOV47" s="987"/>
      <c r="UOW47" s="987"/>
      <c r="UOX47" s="987"/>
      <c r="UOY47" s="987"/>
      <c r="UOZ47" s="987"/>
      <c r="UPA47" s="987"/>
      <c r="UPB47" s="987"/>
      <c r="UPC47" s="987"/>
      <c r="UPD47" s="987"/>
      <c r="UPE47" s="987"/>
      <c r="UPF47" s="987"/>
      <c r="UPG47" s="987"/>
      <c r="UPH47" s="987"/>
      <c r="UPI47" s="987"/>
      <c r="UPJ47" s="987"/>
      <c r="UPK47" s="987"/>
      <c r="UPL47" s="987"/>
      <c r="UPM47" s="987"/>
      <c r="UPN47" s="987"/>
      <c r="UPO47" s="987"/>
      <c r="UPP47" s="987"/>
      <c r="UPQ47" s="987"/>
      <c r="UPR47" s="987"/>
      <c r="UPS47" s="987"/>
      <c r="UPT47" s="987"/>
      <c r="UPU47" s="987"/>
      <c r="UPV47" s="987"/>
      <c r="UPW47" s="987"/>
      <c r="UPX47" s="987"/>
      <c r="UPY47" s="987"/>
      <c r="UPZ47" s="987"/>
      <c r="UQA47" s="987"/>
      <c r="UQB47" s="987"/>
      <c r="UQC47" s="987"/>
      <c r="UQD47" s="987"/>
      <c r="UQE47" s="987"/>
      <c r="UQF47" s="987"/>
      <c r="UQG47" s="987"/>
      <c r="UQH47" s="987"/>
      <c r="UQI47" s="987"/>
      <c r="UQJ47" s="987"/>
      <c r="UQK47" s="987"/>
      <c r="UQL47" s="987"/>
      <c r="UQM47" s="987"/>
      <c r="UQN47" s="987"/>
      <c r="UQO47" s="987"/>
      <c r="UQP47" s="987"/>
      <c r="UQQ47" s="987"/>
      <c r="UQR47" s="987"/>
      <c r="UQS47" s="987"/>
      <c r="UQT47" s="987"/>
      <c r="UQU47" s="987"/>
      <c r="UQV47" s="987"/>
      <c r="UQW47" s="987"/>
      <c r="UQX47" s="987"/>
      <c r="UQY47" s="987"/>
      <c r="UQZ47" s="987"/>
      <c r="URA47" s="987"/>
      <c r="URB47" s="987"/>
      <c r="URC47" s="987"/>
      <c r="URD47" s="987"/>
      <c r="URE47" s="987"/>
      <c r="URF47" s="987"/>
      <c r="URG47" s="987"/>
      <c r="URH47" s="987"/>
      <c r="URI47" s="987"/>
      <c r="URJ47" s="987"/>
      <c r="URK47" s="987"/>
      <c r="URL47" s="987"/>
      <c r="URM47" s="987"/>
      <c r="URN47" s="987"/>
      <c r="URO47" s="987"/>
      <c r="URP47" s="987"/>
      <c r="URQ47" s="987"/>
      <c r="URR47" s="987"/>
      <c r="URS47" s="987"/>
      <c r="URT47" s="987"/>
      <c r="URU47" s="987"/>
      <c r="URV47" s="987"/>
      <c r="URW47" s="987"/>
      <c r="URX47" s="987"/>
      <c r="URY47" s="987"/>
      <c r="URZ47" s="987"/>
      <c r="USA47" s="987"/>
      <c r="USB47" s="987"/>
      <c r="USC47" s="987"/>
      <c r="USD47" s="987"/>
      <c r="USE47" s="987"/>
      <c r="USF47" s="987"/>
      <c r="USG47" s="987"/>
      <c r="USH47" s="987"/>
      <c r="USI47" s="987"/>
      <c r="USJ47" s="987"/>
      <c r="USK47" s="987"/>
      <c r="USL47" s="987"/>
      <c r="USM47" s="987"/>
      <c r="USN47" s="987"/>
      <c r="USO47" s="987"/>
      <c r="USP47" s="987"/>
      <c r="USQ47" s="987"/>
      <c r="USR47" s="987"/>
      <c r="USS47" s="987"/>
      <c r="UST47" s="987"/>
      <c r="USU47" s="987"/>
      <c r="USV47" s="987"/>
      <c r="USW47" s="987"/>
      <c r="USX47" s="987"/>
      <c r="USY47" s="987"/>
      <c r="USZ47" s="987"/>
      <c r="UTA47" s="987"/>
      <c r="UTB47" s="987"/>
      <c r="UTC47" s="987"/>
      <c r="UTD47" s="987"/>
      <c r="UTE47" s="987"/>
      <c r="UTF47" s="987"/>
      <c r="UTG47" s="987"/>
      <c r="UTH47" s="987"/>
      <c r="UTI47" s="987"/>
      <c r="UTJ47" s="987"/>
      <c r="UTK47" s="987"/>
      <c r="UTL47" s="987"/>
      <c r="UTM47" s="987"/>
      <c r="UTN47" s="987"/>
      <c r="UTO47" s="987"/>
      <c r="UTP47" s="987"/>
      <c r="UTQ47" s="987"/>
      <c r="UTR47" s="987"/>
      <c r="UTS47" s="987"/>
      <c r="UTT47" s="987"/>
      <c r="UTU47" s="987"/>
      <c r="UTV47" s="987"/>
      <c r="UTW47" s="987"/>
      <c r="UTX47" s="987"/>
      <c r="UTY47" s="987"/>
      <c r="UTZ47" s="987"/>
      <c r="UUA47" s="987"/>
      <c r="UUB47" s="987"/>
      <c r="UUC47" s="987"/>
      <c r="UUD47" s="987"/>
      <c r="UUE47" s="987"/>
      <c r="UUF47" s="987"/>
      <c r="UUG47" s="987"/>
      <c r="UUH47" s="987"/>
      <c r="UUI47" s="987"/>
      <c r="UUJ47" s="987"/>
      <c r="UUK47" s="987"/>
      <c r="UUL47" s="987"/>
      <c r="UUM47" s="987"/>
      <c r="UUN47" s="987"/>
      <c r="UUO47" s="987"/>
      <c r="UUP47" s="987"/>
      <c r="UUQ47" s="987"/>
      <c r="UUR47" s="987"/>
      <c r="UUS47" s="987"/>
      <c r="UUT47" s="987"/>
      <c r="UUU47" s="987"/>
      <c r="UUV47" s="987"/>
      <c r="UUW47" s="987"/>
      <c r="UUX47" s="987"/>
      <c r="UUY47" s="987"/>
      <c r="UUZ47" s="987"/>
      <c r="UVA47" s="987"/>
      <c r="UVB47" s="987"/>
      <c r="UVC47" s="987"/>
      <c r="UVD47" s="987"/>
      <c r="UVE47" s="987"/>
      <c r="UVF47" s="987"/>
      <c r="UVG47" s="987"/>
      <c r="UVH47" s="987"/>
      <c r="UVI47" s="987"/>
      <c r="UVJ47" s="987"/>
      <c r="UVK47" s="987"/>
      <c r="UVL47" s="987"/>
      <c r="UVM47" s="987"/>
      <c r="UVN47" s="987"/>
      <c r="UVO47" s="987"/>
      <c r="UVP47" s="987"/>
      <c r="UVQ47" s="987"/>
      <c r="UVR47" s="987"/>
      <c r="UVS47" s="987"/>
      <c r="UVT47" s="987"/>
      <c r="UVU47" s="987"/>
      <c r="UVV47" s="987"/>
      <c r="UVW47" s="987"/>
      <c r="UVX47" s="987"/>
      <c r="UVY47" s="987"/>
      <c r="UVZ47" s="987"/>
      <c r="UWA47" s="987"/>
      <c r="UWB47" s="987"/>
      <c r="UWC47" s="987"/>
      <c r="UWD47" s="987"/>
      <c r="UWE47" s="987"/>
      <c r="UWF47" s="987"/>
      <c r="UWG47" s="987"/>
      <c r="UWH47" s="987"/>
      <c r="UWI47" s="987"/>
      <c r="UWJ47" s="987"/>
      <c r="UWK47" s="987"/>
      <c r="UWL47" s="987"/>
      <c r="UWM47" s="987"/>
      <c r="UWN47" s="987"/>
      <c r="UWO47" s="987"/>
      <c r="UWP47" s="987"/>
      <c r="UWQ47" s="987"/>
      <c r="UWR47" s="987"/>
      <c r="UWS47" s="987"/>
      <c r="UWT47" s="987"/>
      <c r="UWU47" s="987"/>
      <c r="UWV47" s="987"/>
      <c r="UWW47" s="987"/>
      <c r="UWX47" s="987"/>
      <c r="UWY47" s="987"/>
      <c r="UWZ47" s="987"/>
      <c r="UXA47" s="987"/>
      <c r="UXB47" s="987"/>
      <c r="UXC47" s="987"/>
      <c r="UXD47" s="987"/>
      <c r="UXE47" s="987"/>
      <c r="UXF47" s="987"/>
      <c r="UXG47" s="987"/>
      <c r="UXH47" s="987"/>
      <c r="UXI47" s="987"/>
      <c r="UXJ47" s="987"/>
      <c r="UXK47" s="987"/>
      <c r="UXL47" s="987"/>
      <c r="UXM47" s="987"/>
      <c r="UXN47" s="987"/>
      <c r="UXO47" s="987"/>
      <c r="UXP47" s="987"/>
      <c r="UXQ47" s="987"/>
      <c r="UXR47" s="987"/>
      <c r="UXS47" s="987"/>
      <c r="UXT47" s="987"/>
      <c r="UXU47" s="987"/>
      <c r="UXV47" s="987"/>
      <c r="UXW47" s="987"/>
      <c r="UXX47" s="987"/>
      <c r="UXY47" s="987"/>
      <c r="UXZ47" s="987"/>
      <c r="UYA47" s="987"/>
      <c r="UYB47" s="987"/>
      <c r="UYC47" s="987"/>
      <c r="UYD47" s="987"/>
      <c r="UYE47" s="987"/>
      <c r="UYF47" s="987"/>
      <c r="UYG47" s="987"/>
      <c r="UYH47" s="987"/>
      <c r="UYI47" s="987"/>
      <c r="UYJ47" s="987"/>
      <c r="UYK47" s="987"/>
      <c r="UYL47" s="987"/>
      <c r="UYM47" s="987"/>
      <c r="UYN47" s="987"/>
      <c r="UYO47" s="987"/>
      <c r="UYP47" s="987"/>
      <c r="UYQ47" s="987"/>
      <c r="UYR47" s="987"/>
      <c r="UYS47" s="987"/>
      <c r="UYT47" s="987"/>
      <c r="UYU47" s="987"/>
      <c r="UYV47" s="987"/>
      <c r="UYW47" s="987"/>
      <c r="UYX47" s="987"/>
      <c r="UYY47" s="987"/>
      <c r="UYZ47" s="987"/>
      <c r="UZA47" s="987"/>
      <c r="UZB47" s="987"/>
      <c r="UZC47" s="987"/>
      <c r="UZD47" s="987"/>
      <c r="UZE47" s="987"/>
      <c r="UZF47" s="987"/>
      <c r="UZG47" s="987"/>
      <c r="UZH47" s="987"/>
      <c r="UZI47" s="987"/>
      <c r="UZJ47" s="987"/>
      <c r="UZK47" s="987"/>
      <c r="UZL47" s="987"/>
      <c r="UZM47" s="987"/>
      <c r="UZN47" s="987"/>
      <c r="UZO47" s="987"/>
      <c r="UZP47" s="987"/>
      <c r="UZQ47" s="987"/>
      <c r="UZR47" s="987"/>
      <c r="UZS47" s="987"/>
      <c r="UZT47" s="987"/>
      <c r="UZU47" s="987"/>
      <c r="UZV47" s="987"/>
      <c r="UZW47" s="987"/>
      <c r="UZX47" s="987"/>
      <c r="UZY47" s="987"/>
      <c r="UZZ47" s="987"/>
      <c r="VAA47" s="987"/>
      <c r="VAB47" s="987"/>
      <c r="VAC47" s="987"/>
      <c r="VAD47" s="987"/>
      <c r="VAE47" s="987"/>
      <c r="VAF47" s="987"/>
      <c r="VAG47" s="987"/>
      <c r="VAH47" s="987"/>
      <c r="VAI47" s="987"/>
      <c r="VAJ47" s="987"/>
      <c r="VAK47" s="987"/>
      <c r="VAL47" s="987"/>
      <c r="VAM47" s="987"/>
      <c r="VAN47" s="987"/>
      <c r="VAO47" s="987"/>
      <c r="VAP47" s="987"/>
      <c r="VAQ47" s="987"/>
      <c r="VAR47" s="987"/>
      <c r="VAS47" s="987"/>
      <c r="VAT47" s="987"/>
      <c r="VAU47" s="987"/>
      <c r="VAV47" s="987"/>
      <c r="VAW47" s="987"/>
      <c r="VAX47" s="987"/>
      <c r="VAY47" s="987"/>
      <c r="VAZ47" s="987"/>
      <c r="VBA47" s="987"/>
      <c r="VBB47" s="987"/>
      <c r="VBC47" s="987"/>
      <c r="VBD47" s="987"/>
      <c r="VBE47" s="987"/>
      <c r="VBF47" s="987"/>
      <c r="VBG47" s="987"/>
      <c r="VBH47" s="987"/>
      <c r="VBI47" s="987"/>
      <c r="VBJ47" s="987"/>
      <c r="VBK47" s="987"/>
      <c r="VBL47" s="987"/>
      <c r="VBM47" s="987"/>
      <c r="VBN47" s="987"/>
      <c r="VBO47" s="987"/>
      <c r="VBP47" s="987"/>
      <c r="VBQ47" s="987"/>
      <c r="VBR47" s="987"/>
      <c r="VBS47" s="987"/>
      <c r="VBT47" s="987"/>
      <c r="VBU47" s="987"/>
      <c r="VBV47" s="987"/>
      <c r="VBW47" s="987"/>
      <c r="VBX47" s="987"/>
      <c r="VBY47" s="987"/>
      <c r="VBZ47" s="987"/>
      <c r="VCA47" s="987"/>
      <c r="VCB47" s="987"/>
      <c r="VCC47" s="987"/>
      <c r="VCD47" s="987"/>
      <c r="VCE47" s="987"/>
      <c r="VCF47" s="987"/>
      <c r="VCG47" s="987"/>
      <c r="VCH47" s="987"/>
      <c r="VCI47" s="987"/>
      <c r="VCJ47" s="987"/>
      <c r="VCK47" s="987"/>
      <c r="VCL47" s="987"/>
      <c r="VCM47" s="987"/>
      <c r="VCN47" s="987"/>
      <c r="VCO47" s="987"/>
      <c r="VCP47" s="987"/>
      <c r="VCQ47" s="987"/>
      <c r="VCR47" s="987"/>
      <c r="VCS47" s="987"/>
      <c r="VCT47" s="987"/>
      <c r="VCU47" s="987"/>
      <c r="VCV47" s="987"/>
      <c r="VCW47" s="987"/>
      <c r="VCX47" s="987"/>
      <c r="VCY47" s="987"/>
      <c r="VCZ47" s="987"/>
      <c r="VDA47" s="987"/>
      <c r="VDB47" s="987"/>
      <c r="VDC47" s="987"/>
      <c r="VDD47" s="987"/>
      <c r="VDE47" s="987"/>
      <c r="VDF47" s="987"/>
      <c r="VDG47" s="987"/>
      <c r="VDH47" s="987"/>
      <c r="VDI47" s="987"/>
      <c r="VDJ47" s="987"/>
      <c r="VDK47" s="987"/>
      <c r="VDL47" s="987"/>
      <c r="VDM47" s="987"/>
      <c r="VDN47" s="987"/>
      <c r="VDO47" s="987"/>
      <c r="VDP47" s="987"/>
      <c r="VDQ47" s="987"/>
      <c r="VDR47" s="987"/>
      <c r="VDS47" s="987"/>
      <c r="VDT47" s="987"/>
      <c r="VDU47" s="987"/>
      <c r="VDV47" s="987"/>
      <c r="VDW47" s="987"/>
      <c r="VDX47" s="987"/>
      <c r="VDY47" s="987"/>
      <c r="VDZ47" s="987"/>
      <c r="VEA47" s="987"/>
      <c r="VEB47" s="987"/>
      <c r="VEC47" s="987"/>
      <c r="VED47" s="987"/>
      <c r="VEE47" s="987"/>
      <c r="VEF47" s="987"/>
      <c r="VEG47" s="987"/>
      <c r="VEH47" s="987"/>
      <c r="VEI47" s="987"/>
      <c r="VEJ47" s="987"/>
      <c r="VEK47" s="987"/>
      <c r="VEL47" s="987"/>
      <c r="VEM47" s="987"/>
      <c r="VEN47" s="987"/>
      <c r="VEO47" s="987"/>
      <c r="VEP47" s="987"/>
      <c r="VEQ47" s="987"/>
      <c r="VER47" s="987"/>
      <c r="VES47" s="987"/>
      <c r="VET47" s="987"/>
      <c r="VEU47" s="987"/>
      <c r="VEV47" s="987"/>
      <c r="VEW47" s="987"/>
      <c r="VEX47" s="987"/>
      <c r="VEY47" s="987"/>
      <c r="VEZ47" s="987"/>
      <c r="VFA47" s="987"/>
      <c r="VFB47" s="987"/>
      <c r="VFC47" s="987"/>
      <c r="VFD47" s="987"/>
      <c r="VFE47" s="987"/>
      <c r="VFF47" s="987"/>
      <c r="VFG47" s="987"/>
      <c r="VFH47" s="987"/>
      <c r="VFI47" s="987"/>
      <c r="VFJ47" s="987"/>
      <c r="VFK47" s="987"/>
      <c r="VFL47" s="987"/>
      <c r="VFM47" s="987"/>
      <c r="VFN47" s="987"/>
      <c r="VFO47" s="987"/>
      <c r="VFP47" s="987"/>
      <c r="VFQ47" s="987"/>
      <c r="VFR47" s="987"/>
      <c r="VFS47" s="987"/>
      <c r="VFT47" s="987"/>
      <c r="VFU47" s="987"/>
      <c r="VFV47" s="987"/>
      <c r="VFW47" s="987"/>
      <c r="VFX47" s="987"/>
      <c r="VFY47" s="987"/>
      <c r="VFZ47" s="987"/>
      <c r="VGA47" s="987"/>
      <c r="VGB47" s="987"/>
      <c r="VGC47" s="987"/>
      <c r="VGD47" s="987"/>
      <c r="VGE47" s="987"/>
      <c r="VGF47" s="987"/>
      <c r="VGG47" s="987"/>
      <c r="VGH47" s="987"/>
      <c r="VGI47" s="987"/>
      <c r="VGJ47" s="987"/>
      <c r="VGK47" s="987"/>
      <c r="VGL47" s="987"/>
      <c r="VGM47" s="987"/>
      <c r="VGN47" s="987"/>
      <c r="VGO47" s="987"/>
      <c r="VGP47" s="987"/>
      <c r="VGQ47" s="987"/>
      <c r="VGR47" s="987"/>
      <c r="VGS47" s="987"/>
      <c r="VGT47" s="987"/>
      <c r="VGU47" s="987"/>
      <c r="VGV47" s="987"/>
      <c r="VGW47" s="987"/>
      <c r="VGX47" s="987"/>
      <c r="VGY47" s="987"/>
      <c r="VGZ47" s="987"/>
      <c r="VHA47" s="987"/>
      <c r="VHB47" s="987"/>
      <c r="VHC47" s="987"/>
      <c r="VHD47" s="987"/>
      <c r="VHE47" s="987"/>
      <c r="VHF47" s="987"/>
      <c r="VHG47" s="987"/>
      <c r="VHH47" s="987"/>
      <c r="VHI47" s="987"/>
      <c r="VHJ47" s="987"/>
      <c r="VHK47" s="987"/>
      <c r="VHL47" s="987"/>
      <c r="VHM47" s="987"/>
      <c r="VHN47" s="987"/>
      <c r="VHO47" s="987"/>
      <c r="VHP47" s="987"/>
      <c r="VHQ47" s="987"/>
      <c r="VHR47" s="987"/>
      <c r="VHS47" s="987"/>
      <c r="VHT47" s="987"/>
      <c r="VHU47" s="987"/>
      <c r="VHV47" s="987"/>
      <c r="VHW47" s="987"/>
      <c r="VHX47" s="987"/>
      <c r="VHY47" s="987"/>
      <c r="VHZ47" s="987"/>
      <c r="VIA47" s="987"/>
      <c r="VIB47" s="987"/>
      <c r="VIC47" s="987"/>
      <c r="VID47" s="987"/>
      <c r="VIE47" s="987"/>
      <c r="VIF47" s="987"/>
      <c r="VIG47" s="987"/>
      <c r="VIH47" s="987"/>
      <c r="VII47" s="987"/>
      <c r="VIJ47" s="987"/>
      <c r="VIK47" s="987"/>
      <c r="VIL47" s="987"/>
      <c r="VIM47" s="987"/>
      <c r="VIN47" s="987"/>
      <c r="VIO47" s="987"/>
      <c r="VIP47" s="987"/>
      <c r="VIQ47" s="987"/>
      <c r="VIR47" s="987"/>
      <c r="VIS47" s="987"/>
      <c r="VIT47" s="987"/>
      <c r="VIU47" s="987"/>
      <c r="VIV47" s="987"/>
      <c r="VIW47" s="987"/>
      <c r="VIX47" s="987"/>
      <c r="VIY47" s="987"/>
      <c r="VIZ47" s="987"/>
      <c r="VJA47" s="987"/>
      <c r="VJB47" s="987"/>
      <c r="VJC47" s="987"/>
      <c r="VJD47" s="987"/>
      <c r="VJE47" s="987"/>
      <c r="VJF47" s="987"/>
      <c r="VJG47" s="987"/>
      <c r="VJH47" s="987"/>
      <c r="VJI47" s="987"/>
      <c r="VJJ47" s="987"/>
      <c r="VJK47" s="987"/>
      <c r="VJL47" s="987"/>
      <c r="VJM47" s="987"/>
      <c r="VJN47" s="987"/>
      <c r="VJO47" s="987"/>
      <c r="VJP47" s="987"/>
      <c r="VJQ47" s="987"/>
      <c r="VJR47" s="987"/>
      <c r="VJS47" s="987"/>
      <c r="VJT47" s="987"/>
      <c r="VJU47" s="987"/>
      <c r="VJV47" s="987"/>
      <c r="VJW47" s="987"/>
      <c r="VJX47" s="987"/>
      <c r="VJY47" s="987"/>
      <c r="VJZ47" s="987"/>
      <c r="VKA47" s="987"/>
      <c r="VKB47" s="987"/>
      <c r="VKC47" s="987"/>
      <c r="VKD47" s="987"/>
      <c r="VKE47" s="987"/>
      <c r="VKF47" s="987"/>
      <c r="VKG47" s="987"/>
      <c r="VKH47" s="987"/>
      <c r="VKI47" s="987"/>
      <c r="VKJ47" s="987"/>
      <c r="VKK47" s="987"/>
      <c r="VKL47" s="987"/>
      <c r="VKM47" s="987"/>
      <c r="VKN47" s="987"/>
      <c r="VKO47" s="987"/>
      <c r="VKP47" s="987"/>
      <c r="VKQ47" s="987"/>
      <c r="VKR47" s="987"/>
      <c r="VKS47" s="987"/>
      <c r="VKT47" s="987"/>
      <c r="VKU47" s="987"/>
      <c r="VKV47" s="987"/>
      <c r="VKW47" s="987"/>
      <c r="VKX47" s="987"/>
      <c r="VKY47" s="987"/>
      <c r="VKZ47" s="987"/>
      <c r="VLA47" s="987"/>
      <c r="VLB47" s="987"/>
      <c r="VLC47" s="987"/>
      <c r="VLD47" s="987"/>
      <c r="VLE47" s="987"/>
      <c r="VLF47" s="987"/>
      <c r="VLG47" s="987"/>
      <c r="VLH47" s="987"/>
      <c r="VLI47" s="987"/>
      <c r="VLJ47" s="987"/>
      <c r="VLK47" s="987"/>
      <c r="VLL47" s="987"/>
      <c r="VLM47" s="987"/>
      <c r="VLN47" s="987"/>
      <c r="VLO47" s="987"/>
      <c r="VLP47" s="987"/>
      <c r="VLQ47" s="987"/>
      <c r="VLR47" s="987"/>
      <c r="VLS47" s="987"/>
      <c r="VLT47" s="987"/>
      <c r="VLU47" s="987"/>
      <c r="VLV47" s="987"/>
      <c r="VLW47" s="987"/>
      <c r="VLX47" s="987"/>
      <c r="VLY47" s="987"/>
      <c r="VLZ47" s="987"/>
      <c r="VMA47" s="987"/>
      <c r="VMB47" s="987"/>
      <c r="VMC47" s="987"/>
      <c r="VMD47" s="987"/>
      <c r="VME47" s="987"/>
      <c r="VMF47" s="987"/>
      <c r="VMG47" s="987"/>
      <c r="VMH47" s="987"/>
      <c r="VMI47" s="987"/>
      <c r="VMJ47" s="987"/>
      <c r="VMK47" s="987"/>
      <c r="VML47" s="987"/>
      <c r="VMM47" s="987"/>
      <c r="VMN47" s="987"/>
      <c r="VMO47" s="987"/>
      <c r="VMP47" s="987"/>
      <c r="VMQ47" s="987"/>
      <c r="VMR47" s="987"/>
      <c r="VMS47" s="987"/>
      <c r="VMT47" s="987"/>
      <c r="VMU47" s="987"/>
      <c r="VMV47" s="987"/>
      <c r="VMW47" s="987"/>
      <c r="VMX47" s="987"/>
      <c r="VMY47" s="987"/>
      <c r="VMZ47" s="987"/>
      <c r="VNA47" s="987"/>
      <c r="VNB47" s="987"/>
      <c r="VNC47" s="987"/>
      <c r="VND47" s="987"/>
      <c r="VNE47" s="987"/>
      <c r="VNF47" s="987"/>
      <c r="VNG47" s="987"/>
      <c r="VNH47" s="987"/>
      <c r="VNI47" s="987"/>
      <c r="VNJ47" s="987"/>
      <c r="VNK47" s="987"/>
      <c r="VNL47" s="987"/>
      <c r="VNM47" s="987"/>
      <c r="VNN47" s="987"/>
      <c r="VNO47" s="987"/>
      <c r="VNP47" s="987"/>
      <c r="VNQ47" s="987"/>
      <c r="VNR47" s="987"/>
      <c r="VNS47" s="987"/>
      <c r="VNT47" s="987"/>
      <c r="VNU47" s="987"/>
      <c r="VNV47" s="987"/>
      <c r="VNW47" s="987"/>
      <c r="VNX47" s="987"/>
      <c r="VNY47" s="987"/>
      <c r="VNZ47" s="987"/>
      <c r="VOA47" s="987"/>
      <c r="VOB47" s="987"/>
      <c r="VOC47" s="987"/>
      <c r="VOD47" s="987"/>
      <c r="VOE47" s="987"/>
      <c r="VOF47" s="987"/>
      <c r="VOG47" s="987"/>
      <c r="VOH47" s="987"/>
      <c r="VOI47" s="987"/>
      <c r="VOJ47" s="987"/>
      <c r="VOK47" s="987"/>
      <c r="VOL47" s="987"/>
      <c r="VOM47" s="987"/>
      <c r="VON47" s="987"/>
      <c r="VOO47" s="987"/>
      <c r="VOP47" s="987"/>
      <c r="VOQ47" s="987"/>
      <c r="VOR47" s="987"/>
      <c r="VOS47" s="987"/>
      <c r="VOT47" s="987"/>
      <c r="VOU47" s="987"/>
      <c r="VOV47" s="987"/>
      <c r="VOW47" s="987"/>
      <c r="VOX47" s="987"/>
      <c r="VOY47" s="987"/>
      <c r="VOZ47" s="987"/>
      <c r="VPA47" s="987"/>
      <c r="VPB47" s="987"/>
      <c r="VPC47" s="987"/>
      <c r="VPD47" s="987"/>
      <c r="VPE47" s="987"/>
      <c r="VPF47" s="987"/>
      <c r="VPG47" s="987"/>
      <c r="VPH47" s="987"/>
      <c r="VPI47" s="987"/>
      <c r="VPJ47" s="987"/>
      <c r="VPK47" s="987"/>
      <c r="VPL47" s="987"/>
      <c r="VPM47" s="987"/>
      <c r="VPN47" s="987"/>
      <c r="VPO47" s="987"/>
      <c r="VPP47" s="987"/>
      <c r="VPQ47" s="987"/>
      <c r="VPR47" s="987"/>
      <c r="VPS47" s="987"/>
      <c r="VPT47" s="987"/>
      <c r="VPU47" s="987"/>
      <c r="VPV47" s="987"/>
      <c r="VPW47" s="987"/>
      <c r="VPX47" s="987"/>
      <c r="VPY47" s="987"/>
      <c r="VPZ47" s="987"/>
      <c r="VQA47" s="987"/>
      <c r="VQB47" s="987"/>
      <c r="VQC47" s="987"/>
      <c r="VQD47" s="987"/>
      <c r="VQE47" s="987"/>
      <c r="VQF47" s="987"/>
      <c r="VQG47" s="987"/>
      <c r="VQH47" s="987"/>
      <c r="VQI47" s="987"/>
      <c r="VQJ47" s="987"/>
      <c r="VQK47" s="987"/>
      <c r="VQL47" s="987"/>
      <c r="VQM47" s="987"/>
      <c r="VQN47" s="987"/>
      <c r="VQO47" s="987"/>
      <c r="VQP47" s="987"/>
      <c r="VQQ47" s="987"/>
      <c r="VQR47" s="987"/>
      <c r="VQS47" s="987"/>
      <c r="VQT47" s="987"/>
      <c r="VQU47" s="987"/>
      <c r="VQV47" s="987"/>
      <c r="VQW47" s="987"/>
      <c r="VQX47" s="987"/>
      <c r="VQY47" s="987"/>
      <c r="VQZ47" s="987"/>
      <c r="VRA47" s="987"/>
      <c r="VRB47" s="987"/>
      <c r="VRC47" s="987"/>
      <c r="VRD47" s="987"/>
      <c r="VRE47" s="987"/>
      <c r="VRF47" s="987"/>
      <c r="VRG47" s="987"/>
      <c r="VRH47" s="987"/>
      <c r="VRI47" s="987"/>
      <c r="VRJ47" s="987"/>
      <c r="VRK47" s="987"/>
      <c r="VRL47" s="987"/>
      <c r="VRM47" s="987"/>
      <c r="VRN47" s="987"/>
      <c r="VRO47" s="987"/>
      <c r="VRP47" s="987"/>
      <c r="VRQ47" s="987"/>
      <c r="VRR47" s="987"/>
      <c r="VRS47" s="987"/>
      <c r="VRT47" s="987"/>
      <c r="VRU47" s="987"/>
      <c r="VRV47" s="987"/>
      <c r="VRW47" s="987"/>
      <c r="VRX47" s="987"/>
      <c r="VRY47" s="987"/>
      <c r="VRZ47" s="987"/>
      <c r="VSA47" s="987"/>
      <c r="VSB47" s="987"/>
      <c r="VSC47" s="987"/>
      <c r="VSD47" s="987"/>
      <c r="VSE47" s="987"/>
      <c r="VSF47" s="987"/>
      <c r="VSG47" s="987"/>
      <c r="VSH47" s="987"/>
      <c r="VSI47" s="987"/>
      <c r="VSJ47" s="987"/>
      <c r="VSK47" s="987"/>
      <c r="VSL47" s="987"/>
      <c r="VSM47" s="987"/>
      <c r="VSN47" s="987"/>
      <c r="VSO47" s="987"/>
      <c r="VSP47" s="987"/>
      <c r="VSQ47" s="987"/>
      <c r="VSR47" s="987"/>
      <c r="VSS47" s="987"/>
      <c r="VST47" s="987"/>
      <c r="VSU47" s="987"/>
      <c r="VSV47" s="987"/>
      <c r="VSW47" s="987"/>
      <c r="VSX47" s="987"/>
      <c r="VSY47" s="987"/>
      <c r="VSZ47" s="987"/>
      <c r="VTA47" s="987"/>
      <c r="VTB47" s="987"/>
      <c r="VTC47" s="987"/>
      <c r="VTD47" s="987"/>
      <c r="VTE47" s="987"/>
      <c r="VTF47" s="987"/>
      <c r="VTG47" s="987"/>
      <c r="VTH47" s="987"/>
      <c r="VTI47" s="987"/>
      <c r="VTJ47" s="987"/>
      <c r="VTK47" s="987"/>
      <c r="VTL47" s="987"/>
      <c r="VTM47" s="987"/>
      <c r="VTN47" s="987"/>
      <c r="VTO47" s="987"/>
      <c r="VTP47" s="987"/>
      <c r="VTQ47" s="987"/>
      <c r="VTR47" s="987"/>
      <c r="VTS47" s="987"/>
      <c r="VTT47" s="987"/>
      <c r="VTU47" s="987"/>
      <c r="VTV47" s="987"/>
      <c r="VTW47" s="987"/>
      <c r="VTX47" s="987"/>
      <c r="VTY47" s="987"/>
      <c r="VTZ47" s="987"/>
      <c r="VUA47" s="987"/>
      <c r="VUB47" s="987"/>
      <c r="VUC47" s="987"/>
      <c r="VUD47" s="987"/>
      <c r="VUE47" s="987"/>
      <c r="VUF47" s="987"/>
      <c r="VUG47" s="987"/>
      <c r="VUH47" s="987"/>
      <c r="VUI47" s="987"/>
      <c r="VUJ47" s="987"/>
      <c r="VUK47" s="987"/>
      <c r="VUL47" s="987"/>
      <c r="VUM47" s="987"/>
      <c r="VUN47" s="987"/>
      <c r="VUO47" s="987"/>
      <c r="VUP47" s="987"/>
      <c r="VUQ47" s="987"/>
      <c r="VUR47" s="987"/>
      <c r="VUS47" s="987"/>
      <c r="VUT47" s="987"/>
      <c r="VUU47" s="987"/>
      <c r="VUV47" s="987"/>
      <c r="VUW47" s="987"/>
      <c r="VUX47" s="987"/>
      <c r="VUY47" s="987"/>
      <c r="VUZ47" s="987"/>
      <c r="VVA47" s="987"/>
      <c r="VVB47" s="987"/>
      <c r="VVC47" s="987"/>
      <c r="VVD47" s="987"/>
      <c r="VVE47" s="987"/>
      <c r="VVF47" s="987"/>
      <c r="VVG47" s="987"/>
      <c r="VVH47" s="987"/>
      <c r="VVI47" s="987"/>
      <c r="VVJ47" s="987"/>
      <c r="VVK47" s="987"/>
      <c r="VVL47" s="987"/>
      <c r="VVM47" s="987"/>
      <c r="VVN47" s="987"/>
      <c r="VVO47" s="987"/>
      <c r="VVP47" s="987"/>
      <c r="VVQ47" s="987"/>
      <c r="VVR47" s="987"/>
      <c r="VVS47" s="987"/>
      <c r="VVT47" s="987"/>
      <c r="VVU47" s="987"/>
      <c r="VVV47" s="987"/>
      <c r="VVW47" s="987"/>
      <c r="VVX47" s="987"/>
      <c r="VVY47" s="987"/>
      <c r="VVZ47" s="987"/>
      <c r="VWA47" s="987"/>
      <c r="VWB47" s="987"/>
      <c r="VWC47" s="987"/>
      <c r="VWD47" s="987"/>
      <c r="VWE47" s="987"/>
      <c r="VWF47" s="987"/>
      <c r="VWG47" s="987"/>
      <c r="VWH47" s="987"/>
      <c r="VWI47" s="987"/>
      <c r="VWJ47" s="987"/>
      <c r="VWK47" s="987"/>
      <c r="VWL47" s="987"/>
      <c r="VWM47" s="987"/>
      <c r="VWN47" s="987"/>
      <c r="VWO47" s="987"/>
      <c r="VWP47" s="987"/>
      <c r="VWQ47" s="987"/>
      <c r="VWR47" s="987"/>
      <c r="VWS47" s="987"/>
      <c r="VWT47" s="987"/>
      <c r="VWU47" s="987"/>
      <c r="VWV47" s="987"/>
      <c r="VWW47" s="987"/>
      <c r="VWX47" s="987"/>
      <c r="VWY47" s="987"/>
      <c r="VWZ47" s="987"/>
      <c r="VXA47" s="987"/>
      <c r="VXB47" s="987"/>
      <c r="VXC47" s="987"/>
      <c r="VXD47" s="987"/>
      <c r="VXE47" s="987"/>
      <c r="VXF47" s="987"/>
      <c r="VXG47" s="987"/>
      <c r="VXH47" s="987"/>
      <c r="VXI47" s="987"/>
      <c r="VXJ47" s="987"/>
      <c r="VXK47" s="987"/>
      <c r="VXL47" s="987"/>
      <c r="VXM47" s="987"/>
      <c r="VXN47" s="987"/>
      <c r="VXO47" s="987"/>
      <c r="VXP47" s="987"/>
      <c r="VXQ47" s="987"/>
      <c r="VXR47" s="987"/>
      <c r="VXS47" s="987"/>
      <c r="VXT47" s="987"/>
      <c r="VXU47" s="987"/>
      <c r="VXV47" s="987"/>
      <c r="VXW47" s="987"/>
      <c r="VXX47" s="987"/>
      <c r="VXY47" s="987"/>
      <c r="VXZ47" s="987"/>
      <c r="VYA47" s="987"/>
      <c r="VYB47" s="987"/>
      <c r="VYC47" s="987"/>
      <c r="VYD47" s="987"/>
      <c r="VYE47" s="987"/>
      <c r="VYF47" s="987"/>
      <c r="VYG47" s="987"/>
      <c r="VYH47" s="987"/>
      <c r="VYI47" s="987"/>
      <c r="VYJ47" s="987"/>
      <c r="VYK47" s="987"/>
      <c r="VYL47" s="987"/>
      <c r="VYM47" s="987"/>
      <c r="VYN47" s="987"/>
      <c r="VYO47" s="987"/>
      <c r="VYP47" s="987"/>
      <c r="VYQ47" s="987"/>
      <c r="VYR47" s="987"/>
      <c r="VYS47" s="987"/>
      <c r="VYT47" s="987"/>
      <c r="VYU47" s="987"/>
      <c r="VYV47" s="987"/>
      <c r="VYW47" s="987"/>
      <c r="VYX47" s="987"/>
      <c r="VYY47" s="987"/>
      <c r="VYZ47" s="987"/>
      <c r="VZA47" s="987"/>
      <c r="VZB47" s="987"/>
      <c r="VZC47" s="987"/>
      <c r="VZD47" s="987"/>
      <c r="VZE47" s="987"/>
      <c r="VZF47" s="987"/>
      <c r="VZG47" s="987"/>
      <c r="VZH47" s="987"/>
      <c r="VZI47" s="987"/>
      <c r="VZJ47" s="987"/>
      <c r="VZK47" s="987"/>
      <c r="VZL47" s="987"/>
      <c r="VZM47" s="987"/>
      <c r="VZN47" s="987"/>
      <c r="VZO47" s="987"/>
      <c r="VZP47" s="987"/>
      <c r="VZQ47" s="987"/>
      <c r="VZR47" s="987"/>
      <c r="VZS47" s="987"/>
      <c r="VZT47" s="987"/>
      <c r="VZU47" s="987"/>
      <c r="VZV47" s="987"/>
      <c r="VZW47" s="987"/>
      <c r="VZX47" s="987"/>
      <c r="VZY47" s="987"/>
      <c r="VZZ47" s="987"/>
      <c r="WAA47" s="987"/>
      <c r="WAB47" s="987"/>
      <c r="WAC47" s="987"/>
      <c r="WAD47" s="987"/>
      <c r="WAE47" s="987"/>
      <c r="WAF47" s="987"/>
      <c r="WAG47" s="987"/>
      <c r="WAH47" s="987"/>
      <c r="WAI47" s="987"/>
      <c r="WAJ47" s="987"/>
      <c r="WAK47" s="987"/>
      <c r="WAL47" s="987"/>
      <c r="WAM47" s="987"/>
      <c r="WAN47" s="987"/>
      <c r="WAO47" s="987"/>
      <c r="WAP47" s="987"/>
      <c r="WAQ47" s="987"/>
      <c r="WAR47" s="987"/>
      <c r="WAS47" s="987"/>
      <c r="WAT47" s="987"/>
      <c r="WAU47" s="987"/>
      <c r="WAV47" s="987"/>
      <c r="WAW47" s="987"/>
      <c r="WAX47" s="987"/>
      <c r="WAY47" s="987"/>
      <c r="WAZ47" s="987"/>
      <c r="WBA47" s="987"/>
      <c r="WBB47" s="987"/>
      <c r="WBC47" s="987"/>
      <c r="WBD47" s="987"/>
      <c r="WBE47" s="987"/>
      <c r="WBF47" s="987"/>
      <c r="WBG47" s="987"/>
      <c r="WBH47" s="987"/>
      <c r="WBI47" s="987"/>
      <c r="WBJ47" s="987"/>
      <c r="WBK47" s="987"/>
      <c r="WBL47" s="987"/>
      <c r="WBM47" s="987"/>
      <c r="WBN47" s="987"/>
      <c r="WBO47" s="987"/>
      <c r="WBP47" s="987"/>
      <c r="WBQ47" s="987"/>
      <c r="WBR47" s="987"/>
      <c r="WBS47" s="987"/>
      <c r="WBT47" s="987"/>
      <c r="WBU47" s="987"/>
      <c r="WBV47" s="987"/>
      <c r="WBW47" s="987"/>
      <c r="WBX47" s="987"/>
      <c r="WBY47" s="987"/>
      <c r="WBZ47" s="987"/>
      <c r="WCA47" s="987"/>
      <c r="WCB47" s="987"/>
      <c r="WCC47" s="987"/>
      <c r="WCD47" s="987"/>
      <c r="WCE47" s="987"/>
      <c r="WCF47" s="987"/>
      <c r="WCG47" s="987"/>
      <c r="WCH47" s="987"/>
      <c r="WCI47" s="987"/>
      <c r="WCJ47" s="987"/>
      <c r="WCK47" s="987"/>
      <c r="WCL47" s="987"/>
      <c r="WCM47" s="987"/>
      <c r="WCN47" s="987"/>
      <c r="WCO47" s="987"/>
      <c r="WCP47" s="987"/>
      <c r="WCQ47" s="987"/>
      <c r="WCR47" s="987"/>
      <c r="WCS47" s="987"/>
      <c r="WCT47" s="987"/>
      <c r="WCU47" s="987"/>
      <c r="WCV47" s="987"/>
      <c r="WCW47" s="987"/>
      <c r="WCX47" s="987"/>
      <c r="WCY47" s="987"/>
      <c r="WCZ47" s="987"/>
      <c r="WDA47" s="987"/>
      <c r="WDB47" s="987"/>
      <c r="WDC47" s="987"/>
      <c r="WDD47" s="987"/>
      <c r="WDE47" s="987"/>
      <c r="WDF47" s="987"/>
      <c r="WDG47" s="987"/>
      <c r="WDH47" s="987"/>
      <c r="WDI47" s="987"/>
      <c r="WDJ47" s="987"/>
      <c r="WDK47" s="987"/>
      <c r="WDL47" s="987"/>
      <c r="WDM47" s="987"/>
      <c r="WDN47" s="987"/>
      <c r="WDO47" s="987"/>
      <c r="WDP47" s="987"/>
      <c r="WDQ47" s="987"/>
      <c r="WDR47" s="987"/>
      <c r="WDS47" s="987"/>
      <c r="WDT47" s="987"/>
      <c r="WDU47" s="987"/>
      <c r="WDV47" s="987"/>
      <c r="WDW47" s="987"/>
      <c r="WDX47" s="987"/>
      <c r="WDY47" s="987"/>
      <c r="WDZ47" s="987"/>
      <c r="WEA47" s="987"/>
      <c r="WEB47" s="987"/>
      <c r="WEC47" s="987"/>
      <c r="WED47" s="987"/>
      <c r="WEE47" s="987"/>
      <c r="WEF47" s="987"/>
      <c r="WEG47" s="987"/>
      <c r="WEH47" s="987"/>
      <c r="WEI47" s="987"/>
      <c r="WEJ47" s="987"/>
      <c r="WEK47" s="987"/>
      <c r="WEL47" s="987"/>
      <c r="WEM47" s="987"/>
      <c r="WEN47" s="987"/>
      <c r="WEO47" s="987"/>
      <c r="WEP47" s="987"/>
      <c r="WEQ47" s="987"/>
      <c r="WER47" s="987"/>
      <c r="WES47" s="987"/>
      <c r="WET47" s="987"/>
      <c r="WEU47" s="987"/>
      <c r="WEV47" s="987"/>
      <c r="WEW47" s="987"/>
      <c r="WEX47" s="987"/>
      <c r="WEY47" s="987"/>
      <c r="WEZ47" s="987"/>
      <c r="WFA47" s="987"/>
      <c r="WFB47" s="987"/>
      <c r="WFC47" s="987"/>
      <c r="WFD47" s="987"/>
      <c r="WFE47" s="987"/>
      <c r="WFF47" s="987"/>
      <c r="WFG47" s="987"/>
      <c r="WFH47" s="987"/>
      <c r="WFI47" s="987"/>
      <c r="WFJ47" s="987"/>
      <c r="WFK47" s="987"/>
      <c r="WFL47" s="987"/>
      <c r="WFM47" s="987"/>
      <c r="WFN47" s="987"/>
      <c r="WFO47" s="987"/>
      <c r="WFP47" s="987"/>
      <c r="WFQ47" s="987"/>
      <c r="WFR47" s="987"/>
      <c r="WFS47" s="987"/>
      <c r="WFT47" s="987"/>
      <c r="WFU47" s="987"/>
      <c r="WFV47" s="987"/>
      <c r="WFW47" s="987"/>
      <c r="WFX47" s="987"/>
      <c r="WFY47" s="987"/>
      <c r="WFZ47" s="987"/>
      <c r="WGA47" s="987"/>
      <c r="WGB47" s="987"/>
      <c r="WGC47" s="987"/>
      <c r="WGD47" s="987"/>
      <c r="WGE47" s="987"/>
      <c r="WGF47" s="987"/>
      <c r="WGG47" s="987"/>
      <c r="WGH47" s="987"/>
      <c r="WGI47" s="987"/>
      <c r="WGJ47" s="987"/>
      <c r="WGK47" s="987"/>
      <c r="WGL47" s="987"/>
      <c r="WGM47" s="987"/>
      <c r="WGN47" s="987"/>
      <c r="WGO47" s="987"/>
      <c r="WGP47" s="987"/>
      <c r="WGQ47" s="987"/>
      <c r="WGR47" s="987"/>
      <c r="WGS47" s="987"/>
      <c r="WGT47" s="987"/>
      <c r="WGU47" s="987"/>
      <c r="WGV47" s="987"/>
      <c r="WGW47" s="987"/>
      <c r="WGX47" s="987"/>
      <c r="WGY47" s="987"/>
      <c r="WGZ47" s="987"/>
      <c r="WHA47" s="987"/>
      <c r="WHB47" s="987"/>
      <c r="WHC47" s="987"/>
      <c r="WHD47" s="987"/>
      <c r="WHE47" s="987"/>
      <c r="WHF47" s="987"/>
      <c r="WHG47" s="987"/>
      <c r="WHH47" s="987"/>
      <c r="WHI47" s="987"/>
      <c r="WHJ47" s="987"/>
      <c r="WHK47" s="987"/>
      <c r="WHL47" s="987"/>
      <c r="WHM47" s="987"/>
      <c r="WHN47" s="987"/>
      <c r="WHO47" s="987"/>
      <c r="WHP47" s="987"/>
      <c r="WHQ47" s="987"/>
      <c r="WHR47" s="987"/>
      <c r="WHS47" s="987"/>
      <c r="WHT47" s="987"/>
      <c r="WHU47" s="987"/>
      <c r="WHV47" s="987"/>
      <c r="WHW47" s="987"/>
      <c r="WHX47" s="987"/>
      <c r="WHY47" s="987"/>
      <c r="WHZ47" s="987"/>
      <c r="WIA47" s="987"/>
      <c r="WIB47" s="987"/>
      <c r="WIC47" s="987"/>
      <c r="WID47" s="987"/>
      <c r="WIE47" s="987"/>
      <c r="WIF47" s="987"/>
      <c r="WIG47" s="987"/>
      <c r="WIH47" s="987"/>
      <c r="WII47" s="987"/>
      <c r="WIJ47" s="987"/>
      <c r="WIK47" s="987"/>
      <c r="WIL47" s="987"/>
      <c r="WIM47" s="987"/>
      <c r="WIN47" s="987"/>
      <c r="WIO47" s="987"/>
      <c r="WIP47" s="987"/>
      <c r="WIQ47" s="987"/>
      <c r="WIR47" s="987"/>
      <c r="WIS47" s="987"/>
      <c r="WIT47" s="987"/>
      <c r="WIU47" s="987"/>
      <c r="WIV47" s="987"/>
      <c r="WIW47" s="987"/>
      <c r="WIX47" s="987"/>
      <c r="WIY47" s="987"/>
      <c r="WIZ47" s="987"/>
      <c r="WJA47" s="987"/>
      <c r="WJB47" s="987"/>
      <c r="WJC47" s="987"/>
      <c r="WJD47" s="987"/>
      <c r="WJE47" s="987"/>
      <c r="WJF47" s="987"/>
      <c r="WJG47" s="987"/>
      <c r="WJH47" s="987"/>
      <c r="WJI47" s="987"/>
      <c r="WJJ47" s="987"/>
      <c r="WJK47" s="987"/>
      <c r="WJL47" s="987"/>
      <c r="WJM47" s="987"/>
      <c r="WJN47" s="987"/>
      <c r="WJO47" s="987"/>
      <c r="WJP47" s="987"/>
      <c r="WJQ47" s="987"/>
      <c r="WJR47" s="987"/>
      <c r="WJS47" s="987"/>
      <c r="WJT47" s="987"/>
      <c r="WJU47" s="987"/>
      <c r="WJV47" s="987"/>
      <c r="WJW47" s="987"/>
      <c r="WJX47" s="987"/>
      <c r="WJY47" s="987"/>
      <c r="WJZ47" s="987"/>
      <c r="WKA47" s="987"/>
      <c r="WKB47" s="987"/>
      <c r="WKC47" s="987"/>
      <c r="WKD47" s="987"/>
      <c r="WKE47" s="987"/>
      <c r="WKF47" s="987"/>
      <c r="WKG47" s="987"/>
      <c r="WKH47" s="987"/>
      <c r="WKI47" s="987"/>
      <c r="WKJ47" s="987"/>
      <c r="WKK47" s="987"/>
      <c r="WKL47" s="987"/>
      <c r="WKM47" s="987"/>
      <c r="WKN47" s="987"/>
      <c r="WKO47" s="987"/>
      <c r="WKP47" s="987"/>
      <c r="WKQ47" s="987"/>
      <c r="WKR47" s="987"/>
      <c r="WKS47" s="987"/>
      <c r="WKT47" s="987"/>
      <c r="WKU47" s="987"/>
      <c r="WKV47" s="987"/>
      <c r="WKW47" s="987"/>
      <c r="WKX47" s="987"/>
      <c r="WKY47" s="987"/>
      <c r="WKZ47" s="987"/>
      <c r="WLA47" s="987"/>
      <c r="WLB47" s="987"/>
      <c r="WLC47" s="987"/>
      <c r="WLD47" s="987"/>
      <c r="WLE47" s="987"/>
      <c r="WLF47" s="987"/>
      <c r="WLG47" s="987"/>
      <c r="WLH47" s="987"/>
      <c r="WLI47" s="987"/>
      <c r="WLJ47" s="987"/>
      <c r="WLK47" s="987"/>
      <c r="WLL47" s="987"/>
      <c r="WLM47" s="987"/>
      <c r="WLN47" s="987"/>
      <c r="WLO47" s="987"/>
      <c r="WLP47" s="987"/>
      <c r="WLQ47" s="987"/>
      <c r="WLR47" s="987"/>
      <c r="WLS47" s="987"/>
      <c r="WLT47" s="987"/>
      <c r="WLU47" s="987"/>
      <c r="WLV47" s="987"/>
      <c r="WLW47" s="987"/>
      <c r="WLX47" s="987"/>
      <c r="WLY47" s="987"/>
      <c r="WLZ47" s="987"/>
      <c r="WMA47" s="987"/>
      <c r="WMB47" s="987"/>
      <c r="WMC47" s="987"/>
      <c r="WMD47" s="987"/>
      <c r="WME47" s="987"/>
      <c r="WMF47" s="987"/>
      <c r="WMG47" s="987"/>
      <c r="WMH47" s="987"/>
      <c r="WMI47" s="987"/>
      <c r="WMJ47" s="987"/>
      <c r="WMK47" s="987"/>
      <c r="WML47" s="987"/>
      <c r="WMM47" s="987"/>
      <c r="WMN47" s="987"/>
      <c r="WMO47" s="987"/>
      <c r="WMP47" s="987"/>
      <c r="WMQ47" s="987"/>
      <c r="WMR47" s="987"/>
      <c r="WMS47" s="987"/>
      <c r="WMT47" s="987"/>
      <c r="WMU47" s="987"/>
      <c r="WMV47" s="987"/>
      <c r="WMW47" s="987"/>
      <c r="WMX47" s="987"/>
      <c r="WMY47" s="987"/>
      <c r="WMZ47" s="987"/>
      <c r="WNA47" s="987"/>
      <c r="WNB47" s="987"/>
      <c r="WNC47" s="987"/>
      <c r="WND47" s="987"/>
      <c r="WNE47" s="987"/>
      <c r="WNF47" s="987"/>
      <c r="WNG47" s="987"/>
      <c r="WNH47" s="987"/>
      <c r="WNI47" s="987"/>
      <c r="WNJ47" s="987"/>
      <c r="WNK47" s="987"/>
      <c r="WNL47" s="987"/>
      <c r="WNM47" s="987"/>
      <c r="WNN47" s="987"/>
      <c r="WNO47" s="987"/>
      <c r="WNP47" s="987"/>
      <c r="WNQ47" s="987"/>
      <c r="WNR47" s="987"/>
      <c r="WNS47" s="987"/>
      <c r="WNT47" s="987"/>
      <c r="WNU47" s="987"/>
      <c r="WNV47" s="987"/>
      <c r="WNW47" s="987"/>
      <c r="WNX47" s="987"/>
      <c r="WNY47" s="987"/>
      <c r="WNZ47" s="987"/>
      <c r="WOA47" s="987"/>
      <c r="WOB47" s="987"/>
      <c r="WOC47" s="987"/>
      <c r="WOD47" s="987"/>
      <c r="WOE47" s="987"/>
      <c r="WOF47" s="987"/>
      <c r="WOG47" s="987"/>
      <c r="WOH47" s="987"/>
      <c r="WOI47" s="987"/>
      <c r="WOJ47" s="987"/>
      <c r="WOK47" s="987"/>
      <c r="WOL47" s="987"/>
      <c r="WOM47" s="987"/>
      <c r="WON47" s="987"/>
      <c r="WOO47" s="987"/>
      <c r="WOP47" s="987"/>
      <c r="WOQ47" s="987"/>
      <c r="WOR47" s="987"/>
      <c r="WOS47" s="987"/>
      <c r="WOT47" s="987"/>
      <c r="WOU47" s="987"/>
      <c r="WOV47" s="987"/>
      <c r="WOW47" s="987"/>
      <c r="WOX47" s="987"/>
      <c r="WOY47" s="987"/>
      <c r="WOZ47" s="987"/>
      <c r="WPA47" s="987"/>
      <c r="WPB47" s="987"/>
      <c r="WPC47" s="987"/>
      <c r="WPD47" s="987"/>
      <c r="WPE47" s="987"/>
      <c r="WPF47" s="987"/>
      <c r="WPG47" s="987"/>
      <c r="WPH47" s="987"/>
      <c r="WPI47" s="987"/>
      <c r="WPJ47" s="987"/>
      <c r="WPK47" s="987"/>
      <c r="WPL47" s="987"/>
      <c r="WPM47" s="987"/>
      <c r="WPN47" s="987"/>
      <c r="WPO47" s="987"/>
      <c r="WPP47" s="987"/>
      <c r="WPQ47" s="987"/>
      <c r="WPR47" s="987"/>
      <c r="WPS47" s="987"/>
      <c r="WPT47" s="987"/>
      <c r="WPU47" s="987"/>
      <c r="WPV47" s="987"/>
      <c r="WPW47" s="987"/>
      <c r="WPX47" s="987"/>
      <c r="WPY47" s="987"/>
      <c r="WPZ47" s="987"/>
      <c r="WQA47" s="987"/>
      <c r="WQB47" s="987"/>
      <c r="WQC47" s="987"/>
      <c r="WQD47" s="987"/>
      <c r="WQE47" s="987"/>
      <c r="WQF47" s="987"/>
      <c r="WQG47" s="987"/>
      <c r="WQH47" s="987"/>
      <c r="WQI47" s="987"/>
      <c r="WQJ47" s="987"/>
      <c r="WQK47" s="987"/>
      <c r="WQL47" s="987"/>
      <c r="WQM47" s="987"/>
      <c r="WQN47" s="987"/>
      <c r="WQO47" s="987"/>
      <c r="WQP47" s="987"/>
      <c r="WQQ47" s="987"/>
      <c r="WQR47" s="987"/>
      <c r="WQS47" s="987"/>
      <c r="WQT47" s="987"/>
      <c r="WQU47" s="987"/>
      <c r="WQV47" s="987"/>
      <c r="WQW47" s="987"/>
      <c r="WQX47" s="987"/>
      <c r="WQY47" s="987"/>
      <c r="WQZ47" s="987"/>
      <c r="WRA47" s="987"/>
      <c r="WRB47" s="987"/>
      <c r="WRC47" s="987"/>
      <c r="WRD47" s="987"/>
      <c r="WRE47" s="987"/>
      <c r="WRF47" s="987"/>
      <c r="WRG47" s="987"/>
      <c r="WRH47" s="987"/>
      <c r="WRI47" s="987"/>
      <c r="WRJ47" s="987"/>
      <c r="WRK47" s="987"/>
      <c r="WRL47" s="987"/>
      <c r="WRM47" s="987"/>
      <c r="WRN47" s="987"/>
      <c r="WRO47" s="987"/>
      <c r="WRP47" s="987"/>
      <c r="WRQ47" s="987"/>
      <c r="WRR47" s="987"/>
      <c r="WRS47" s="987"/>
      <c r="WRT47" s="987"/>
      <c r="WRU47" s="987"/>
      <c r="WRV47" s="987"/>
      <c r="WRW47" s="987"/>
      <c r="WRX47" s="987"/>
      <c r="WRY47" s="987"/>
      <c r="WRZ47" s="987"/>
      <c r="WSA47" s="987"/>
      <c r="WSB47" s="987"/>
      <c r="WSC47" s="987"/>
      <c r="WSD47" s="987"/>
      <c r="WSE47" s="987"/>
      <c r="WSF47" s="987"/>
      <c r="WSG47" s="987"/>
      <c r="WSH47" s="987"/>
      <c r="WSI47" s="987"/>
      <c r="WSJ47" s="987"/>
      <c r="WSK47" s="987"/>
      <c r="WSL47" s="987"/>
      <c r="WSM47" s="987"/>
      <c r="WSN47" s="987"/>
      <c r="WSO47" s="987"/>
      <c r="WSP47" s="987"/>
      <c r="WSQ47" s="987"/>
      <c r="WSR47" s="987"/>
      <c r="WSS47" s="987"/>
      <c r="WST47" s="987"/>
      <c r="WSU47" s="987"/>
      <c r="WSV47" s="987"/>
      <c r="WSW47" s="987"/>
      <c r="WSX47" s="987"/>
      <c r="WSY47" s="987"/>
      <c r="WSZ47" s="987"/>
      <c r="WTA47" s="987"/>
      <c r="WTB47" s="987"/>
      <c r="WTC47" s="987"/>
      <c r="WTD47" s="987"/>
      <c r="WTE47" s="987"/>
      <c r="WTF47" s="987"/>
      <c r="WTG47" s="987"/>
      <c r="WTH47" s="987"/>
      <c r="WTI47" s="987"/>
      <c r="WTJ47" s="987"/>
      <c r="WTK47" s="987"/>
      <c r="WTL47" s="987"/>
      <c r="WTM47" s="987"/>
      <c r="WTN47" s="987"/>
      <c r="WTO47" s="987"/>
      <c r="WTP47" s="987"/>
      <c r="WTQ47" s="987"/>
      <c r="WTR47" s="987"/>
      <c r="WTS47" s="987"/>
      <c r="WTT47" s="987"/>
      <c r="WTU47" s="987"/>
      <c r="WTV47" s="987"/>
      <c r="WTW47" s="987"/>
      <c r="WTX47" s="987"/>
      <c r="WTY47" s="987"/>
      <c r="WTZ47" s="987"/>
      <c r="WUA47" s="987"/>
      <c r="WUB47" s="987"/>
      <c r="WUC47" s="987"/>
      <c r="WUD47" s="987"/>
      <c r="WUE47" s="987"/>
      <c r="WUF47" s="987"/>
      <c r="WUG47" s="987"/>
      <c r="WUH47" s="987"/>
      <c r="WUI47" s="987"/>
      <c r="WUJ47" s="987"/>
      <c r="WUK47" s="987"/>
      <c r="WUL47" s="987"/>
      <c r="WUM47" s="987"/>
      <c r="WUN47" s="987"/>
      <c r="WUO47" s="987"/>
      <c r="WUP47" s="987"/>
      <c r="WUQ47" s="987"/>
      <c r="WUR47" s="987"/>
      <c r="WUS47" s="987"/>
      <c r="WUT47" s="987"/>
      <c r="WUU47" s="987"/>
      <c r="WUV47" s="987"/>
      <c r="WUW47" s="987"/>
      <c r="WUX47" s="987"/>
      <c r="WUY47" s="987"/>
      <c r="WUZ47" s="987"/>
      <c r="WVA47" s="987"/>
      <c r="WVB47" s="987"/>
      <c r="WVC47" s="987"/>
      <c r="WVD47" s="987"/>
      <c r="WVE47" s="987"/>
      <c r="WVF47" s="987"/>
      <c r="WVG47" s="987"/>
      <c r="WVH47" s="987"/>
      <c r="WVI47" s="987"/>
      <c r="WVJ47" s="987"/>
      <c r="WVK47" s="987"/>
      <c r="WVL47" s="987"/>
      <c r="WVM47" s="987"/>
      <c r="WVN47" s="987"/>
      <c r="WVO47" s="987"/>
      <c r="WVP47" s="987"/>
      <c r="WVQ47" s="987"/>
      <c r="WVR47" s="987"/>
      <c r="WVS47" s="987"/>
      <c r="WVT47" s="987"/>
      <c r="WVU47" s="987"/>
      <c r="WVV47" s="987"/>
      <c r="WVW47" s="987"/>
      <c r="WVX47" s="987"/>
      <c r="WVY47" s="987"/>
      <c r="WVZ47" s="987"/>
      <c r="WWA47" s="987"/>
      <c r="WWB47" s="987"/>
      <c r="WWC47" s="987"/>
      <c r="WWD47" s="987"/>
      <c r="WWE47" s="987"/>
      <c r="WWF47" s="987"/>
      <c r="WWG47" s="987"/>
      <c r="WWH47" s="987"/>
      <c r="WWI47" s="987"/>
      <c r="WWJ47" s="987"/>
      <c r="WWK47" s="987"/>
      <c r="WWL47" s="987"/>
      <c r="WWM47" s="987"/>
      <c r="WWN47" s="987"/>
      <c r="WWO47" s="987"/>
      <c r="WWP47" s="987"/>
      <c r="WWQ47" s="987"/>
      <c r="WWR47" s="987"/>
      <c r="WWS47" s="987"/>
      <c r="WWT47" s="987"/>
      <c r="WWU47" s="987"/>
      <c r="WWV47" s="987"/>
      <c r="WWW47" s="987"/>
      <c r="WWX47" s="987"/>
      <c r="WWY47" s="987"/>
      <c r="WWZ47" s="987"/>
      <c r="WXA47" s="987"/>
      <c r="WXB47" s="987"/>
      <c r="WXC47" s="987"/>
      <c r="WXD47" s="987"/>
      <c r="WXE47" s="987"/>
      <c r="WXF47" s="987"/>
      <c r="WXG47" s="987"/>
      <c r="WXH47" s="987"/>
      <c r="WXI47" s="987"/>
      <c r="WXJ47" s="987"/>
      <c r="WXK47" s="987"/>
      <c r="WXL47" s="987"/>
      <c r="WXM47" s="987"/>
      <c r="WXN47" s="987"/>
      <c r="WXO47" s="987"/>
      <c r="WXP47" s="987"/>
      <c r="WXQ47" s="987"/>
      <c r="WXR47" s="987"/>
      <c r="WXS47" s="987"/>
      <c r="WXT47" s="987"/>
      <c r="WXU47" s="987"/>
      <c r="WXV47" s="987"/>
      <c r="WXW47" s="987"/>
      <c r="WXX47" s="987"/>
      <c r="WXY47" s="987"/>
      <c r="WXZ47" s="987"/>
      <c r="WYA47" s="987"/>
      <c r="WYB47" s="987"/>
      <c r="WYC47" s="987"/>
      <c r="WYD47" s="987"/>
      <c r="WYE47" s="987"/>
      <c r="WYF47" s="987"/>
      <c r="WYG47" s="987"/>
      <c r="WYH47" s="987"/>
      <c r="WYI47" s="987"/>
      <c r="WYJ47" s="987"/>
      <c r="WYK47" s="987"/>
      <c r="WYL47" s="987"/>
      <c r="WYM47" s="987"/>
      <c r="WYN47" s="987"/>
      <c r="WYO47" s="987"/>
      <c r="WYP47" s="987"/>
      <c r="WYQ47" s="987"/>
      <c r="WYR47" s="987"/>
      <c r="WYS47" s="987"/>
      <c r="WYT47" s="987"/>
      <c r="WYU47" s="987"/>
      <c r="WYV47" s="987"/>
      <c r="WYW47" s="987"/>
      <c r="WYX47" s="987"/>
      <c r="WYY47" s="987"/>
      <c r="WYZ47" s="987"/>
      <c r="WZA47" s="987"/>
      <c r="WZB47" s="987"/>
      <c r="WZC47" s="987"/>
      <c r="WZD47" s="987"/>
      <c r="WZE47" s="987"/>
      <c r="WZF47" s="987"/>
      <c r="WZG47" s="987"/>
      <c r="WZH47" s="987"/>
      <c r="WZI47" s="987"/>
      <c r="WZJ47" s="987"/>
      <c r="WZK47" s="987"/>
      <c r="WZL47" s="987"/>
      <c r="WZM47" s="987"/>
      <c r="WZN47" s="987"/>
      <c r="WZO47" s="987"/>
      <c r="WZP47" s="987"/>
      <c r="WZQ47" s="987"/>
      <c r="WZR47" s="987"/>
      <c r="WZS47" s="987"/>
      <c r="WZT47" s="987"/>
      <c r="WZU47" s="987"/>
      <c r="WZV47" s="987"/>
      <c r="WZW47" s="987"/>
      <c r="WZX47" s="987"/>
      <c r="WZY47" s="987"/>
      <c r="WZZ47" s="987"/>
      <c r="XAA47" s="987"/>
      <c r="XAB47" s="987"/>
      <c r="XAC47" s="987"/>
      <c r="XAD47" s="987"/>
      <c r="XAE47" s="987"/>
      <c r="XAF47" s="987"/>
      <c r="XAG47" s="987"/>
      <c r="XAH47" s="987"/>
      <c r="XAI47" s="987"/>
      <c r="XAJ47" s="987"/>
      <c r="XAK47" s="987"/>
      <c r="XAL47" s="987"/>
      <c r="XAM47" s="987"/>
      <c r="XAN47" s="987"/>
      <c r="XAO47" s="987"/>
      <c r="XAP47" s="987"/>
      <c r="XAQ47" s="987"/>
      <c r="XAR47" s="987"/>
      <c r="XAS47" s="987"/>
      <c r="XAT47" s="987"/>
      <c r="XAU47" s="987"/>
      <c r="XAV47" s="987"/>
      <c r="XAW47" s="987"/>
      <c r="XAX47" s="987"/>
      <c r="XAY47" s="987"/>
      <c r="XAZ47" s="987"/>
      <c r="XBA47" s="987"/>
      <c r="XBB47" s="987"/>
      <c r="XBC47" s="987"/>
      <c r="XBD47" s="987"/>
      <c r="XBE47" s="987"/>
      <c r="XBF47" s="987"/>
      <c r="XBG47" s="987"/>
      <c r="XBH47" s="987"/>
      <c r="XBI47" s="987"/>
      <c r="XBJ47" s="987"/>
      <c r="XBK47" s="987"/>
      <c r="XBL47" s="987"/>
      <c r="XBM47" s="987"/>
      <c r="XBN47" s="987"/>
      <c r="XBO47" s="987"/>
      <c r="XBP47" s="987"/>
      <c r="XBQ47" s="987"/>
      <c r="XBR47" s="987"/>
      <c r="XBS47" s="987"/>
      <c r="XBT47" s="987"/>
      <c r="XBU47" s="987"/>
      <c r="XBV47" s="987"/>
      <c r="XBW47" s="987"/>
      <c r="XBX47" s="987"/>
      <c r="XBY47" s="987"/>
      <c r="XBZ47" s="987"/>
      <c r="XCA47" s="987"/>
      <c r="XCB47" s="987"/>
      <c r="XCC47" s="987"/>
      <c r="XCD47" s="987"/>
      <c r="XCE47" s="987"/>
      <c r="XCF47" s="987"/>
      <c r="XCG47" s="987"/>
      <c r="XCH47" s="987"/>
      <c r="XCI47" s="987"/>
      <c r="XCJ47" s="987"/>
      <c r="XCK47" s="987"/>
      <c r="XCL47" s="987"/>
      <c r="XCM47" s="987"/>
      <c r="XCN47" s="987"/>
      <c r="XCO47" s="987"/>
      <c r="XCP47" s="987"/>
      <c r="XCQ47" s="987"/>
      <c r="XCR47" s="987"/>
      <c r="XCS47" s="987"/>
      <c r="XCT47" s="987"/>
      <c r="XCU47" s="987"/>
      <c r="XCV47" s="987"/>
      <c r="XCW47" s="987"/>
      <c r="XCX47" s="987"/>
      <c r="XCY47" s="987"/>
      <c r="XCZ47" s="987"/>
      <c r="XDA47" s="987"/>
      <c r="XDB47" s="987"/>
      <c r="XDC47" s="987"/>
      <c r="XDD47" s="987"/>
      <c r="XDE47" s="987"/>
      <c r="XDF47" s="987"/>
      <c r="XDG47" s="987"/>
      <c r="XDH47" s="987"/>
      <c r="XDI47" s="987"/>
      <c r="XDJ47" s="987"/>
      <c r="XDK47" s="987"/>
      <c r="XDL47" s="987"/>
      <c r="XDM47" s="987"/>
      <c r="XDN47" s="987"/>
      <c r="XDO47" s="987"/>
      <c r="XDP47" s="987"/>
      <c r="XDQ47" s="987"/>
      <c r="XDR47" s="987"/>
      <c r="XDS47" s="987"/>
      <c r="XDT47" s="987"/>
      <c r="XDU47" s="987"/>
      <c r="XDV47" s="987"/>
      <c r="XDW47" s="987"/>
      <c r="XDX47" s="987"/>
      <c r="XDY47" s="987"/>
      <c r="XDZ47" s="987"/>
      <c r="XEA47" s="987"/>
      <c r="XEB47" s="987"/>
      <c r="XEC47" s="987"/>
    </row>
    <row r="48" spans="1:16357" ht="30" customHeight="1">
      <c r="A48" s="117" t="s">
        <v>110</v>
      </c>
      <c r="B48" s="121" t="s">
        <v>111</v>
      </c>
      <c r="C48" s="120"/>
      <c r="D48" s="120"/>
      <c r="E48" s="120"/>
      <c r="F48" s="120"/>
      <c r="G48" s="120"/>
      <c r="H48" s="120"/>
      <c r="I48" s="120"/>
      <c r="J48" s="120"/>
      <c r="K48" s="120"/>
      <c r="L48" s="120"/>
      <c r="M48" s="120"/>
      <c r="N48" s="120"/>
      <c r="O48" s="5"/>
      <c r="P48" s="5"/>
      <c r="Q48" s="5"/>
      <c r="R48" s="5"/>
      <c r="S48" s="5"/>
      <c r="T48" s="5"/>
      <c r="U48" s="7"/>
      <c r="V48" s="7"/>
      <c r="W48" s="7"/>
      <c r="X48" s="7"/>
      <c r="Y48" s="35"/>
      <c r="Z48" s="7"/>
      <c r="AA48" s="7"/>
      <c r="AB48" s="7"/>
      <c r="AC48" s="7"/>
      <c r="AD48" s="35"/>
      <c r="AE48" s="7"/>
      <c r="AF48" s="7"/>
      <c r="AG48" s="7"/>
      <c r="AH48" s="7"/>
      <c r="AI48" s="35"/>
      <c r="AJ48" s="7"/>
      <c r="AK48" s="99"/>
      <c r="AL48" s="5"/>
      <c r="AM48" s="190"/>
      <c r="AN48" s="190"/>
      <c r="AO48" s="190"/>
      <c r="AP48" s="190"/>
      <c r="AQ48" s="190"/>
      <c r="AR48" s="190"/>
      <c r="AS48" s="190"/>
      <c r="AT48" s="190"/>
      <c r="AU48" s="190"/>
      <c r="AV48" s="190"/>
      <c r="AW48" s="190"/>
      <c r="AX48" s="190"/>
      <c r="AY48" s="190"/>
      <c r="AZ48" s="190"/>
      <c r="BA48" s="190"/>
      <c r="BB48" s="190"/>
      <c r="BC48" s="190"/>
      <c r="BD48" s="190"/>
      <c r="BE48" s="190"/>
      <c r="BF48" s="702"/>
      <c r="BG48" s="190"/>
      <c r="BH48" s="190"/>
      <c r="BI48" s="190"/>
      <c r="BJ48" s="190"/>
      <c r="BK48" s="697"/>
      <c r="BL48" s="190"/>
      <c r="BM48" s="190"/>
      <c r="BN48" s="190"/>
      <c r="BO48" s="190"/>
      <c r="BP48" s="697"/>
      <c r="BQ48" s="190"/>
      <c r="BR48" s="190"/>
      <c r="BS48" s="190"/>
      <c r="BT48" s="190"/>
      <c r="BV48" s="190"/>
      <c r="BW48" s="190"/>
      <c r="BX48" s="190"/>
    </row>
    <row r="49" spans="1:72" ht="45.75" customHeight="1">
      <c r="A49" s="134"/>
      <c r="B49" s="134"/>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3"/>
      <c r="BG49" s="6"/>
      <c r="BH49" s="6"/>
      <c r="BI49" s="38"/>
      <c r="BJ49" s="6"/>
      <c r="BK49" s="698"/>
      <c r="BL49" s="6"/>
      <c r="BM49" s="6"/>
      <c r="BN49" s="38"/>
      <c r="BO49" s="6"/>
      <c r="BP49" s="698"/>
      <c r="BQ49" s="6"/>
      <c r="BR49" s="6"/>
      <c r="BS49" s="38"/>
      <c r="BT49" s="6"/>
    </row>
    <row r="50" spans="1:72" ht="13">
      <c r="A50" s="986"/>
      <c r="B50" s="986"/>
      <c r="C50" s="986"/>
      <c r="D50" s="986"/>
      <c r="E50" s="986"/>
      <c r="F50" s="986"/>
      <c r="G50" s="986"/>
      <c r="H50" s="986"/>
      <c r="I50" s="986"/>
      <c r="J50" s="986"/>
      <c r="K50" s="986"/>
      <c r="L50" s="986"/>
      <c r="M50" s="986"/>
      <c r="N50" s="986"/>
      <c r="O50" s="5"/>
      <c r="P50" s="5"/>
      <c r="Q50" s="5"/>
      <c r="R50" s="5"/>
      <c r="S50" s="5"/>
      <c r="T50" s="5"/>
      <c r="U50" s="7"/>
      <c r="V50" s="7"/>
      <c r="W50" s="7"/>
      <c r="X50" s="7"/>
      <c r="Y50" s="35"/>
      <c r="Z50" s="7"/>
      <c r="AA50" s="7"/>
      <c r="AB50" s="7"/>
      <c r="AC50" s="7"/>
      <c r="AD50" s="35"/>
      <c r="AE50" s="7"/>
      <c r="AF50" s="7"/>
      <c r="AG50" s="7"/>
      <c r="AH50" s="7"/>
      <c r="AI50" s="35"/>
      <c r="AJ50" s="7"/>
      <c r="AK50" s="99"/>
      <c r="AL50" s="5"/>
      <c r="AM50" s="7"/>
      <c r="AN50" s="7"/>
      <c r="AO50" s="35"/>
      <c r="AP50" s="7"/>
      <c r="AQ50" s="7"/>
      <c r="AR50" s="7"/>
      <c r="AS50" s="7"/>
      <c r="AT50" s="35"/>
      <c r="AU50" s="7"/>
      <c r="AV50" s="7"/>
      <c r="AW50" s="7"/>
      <c r="AX50" s="7"/>
      <c r="AY50" s="35"/>
      <c r="AZ50" s="7"/>
      <c r="BA50" s="7"/>
      <c r="BB50" s="7"/>
      <c r="BC50" s="7"/>
      <c r="BD50" s="35"/>
      <c r="BE50" s="7"/>
      <c r="BF50" s="704"/>
      <c r="BG50" s="7"/>
      <c r="BH50" s="7"/>
      <c r="BI50" s="35"/>
      <c r="BJ50" s="7"/>
      <c r="BK50" s="8"/>
      <c r="BL50" s="7"/>
      <c r="BM50" s="7"/>
      <c r="BN50" s="35"/>
      <c r="BO50" s="7"/>
      <c r="BP50" s="8"/>
      <c r="BQ50" s="7"/>
      <c r="BR50" s="7"/>
      <c r="BS50" s="35"/>
      <c r="BT50" s="7"/>
    </row>
    <row r="51" spans="1:72" ht="1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3"/>
      <c r="BG51" s="6"/>
      <c r="BH51" s="6"/>
      <c r="BI51" s="38"/>
      <c r="BJ51" s="6"/>
      <c r="BK51" s="698"/>
      <c r="BL51" s="6"/>
      <c r="BM51" s="6"/>
      <c r="BN51" s="38"/>
      <c r="BO51" s="6"/>
      <c r="BP51" s="698"/>
      <c r="BQ51" s="6"/>
      <c r="BR51" s="6"/>
      <c r="BS51" s="38"/>
      <c r="BT51" s="6"/>
    </row>
    <row r="52" spans="1:72"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3"/>
      <c r="BG52" s="6"/>
      <c r="BH52" s="6"/>
      <c r="BI52" s="38"/>
      <c r="BJ52" s="6"/>
      <c r="BK52" s="698"/>
      <c r="BL52" s="6"/>
      <c r="BM52" s="6"/>
      <c r="BN52" s="38"/>
      <c r="BO52" s="6"/>
      <c r="BP52" s="698"/>
      <c r="BQ52" s="6"/>
      <c r="BR52" s="6"/>
      <c r="BS52" s="38"/>
      <c r="BT52" s="6"/>
    </row>
    <row r="53" spans="1:72"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3"/>
      <c r="BG53" s="6"/>
      <c r="BH53" s="6"/>
      <c r="BI53" s="38"/>
      <c r="BJ53" s="6"/>
      <c r="BK53" s="698"/>
      <c r="BL53" s="6"/>
      <c r="BM53" s="6"/>
      <c r="BN53" s="38"/>
      <c r="BO53" s="6"/>
      <c r="BP53" s="698"/>
      <c r="BQ53" s="6"/>
      <c r="BR53" s="6"/>
      <c r="BS53" s="38"/>
      <c r="BT53" s="6"/>
    </row>
    <row r="54" spans="1:72"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3"/>
      <c r="BG54" s="6"/>
      <c r="BH54" s="6"/>
      <c r="BI54" s="38"/>
      <c r="BJ54" s="6"/>
      <c r="BK54" s="698"/>
      <c r="BL54" s="6"/>
      <c r="BM54" s="6"/>
      <c r="BN54" s="38"/>
      <c r="BO54" s="6"/>
      <c r="BP54" s="698"/>
      <c r="BQ54" s="6"/>
      <c r="BR54" s="6"/>
      <c r="BS54" s="38"/>
      <c r="BT54" s="6"/>
    </row>
    <row r="55" spans="1:72" ht="28.5" customHeight="1">
      <c r="U55" s="6"/>
      <c r="V55" s="6"/>
      <c r="W55" s="6"/>
      <c r="X55" s="6"/>
      <c r="Y55" s="38"/>
      <c r="Z55" s="6"/>
      <c r="AA55" s="6"/>
      <c r="AB55" s="6"/>
      <c r="AC55" s="6"/>
      <c r="AD55" s="38"/>
      <c r="AE55" s="6"/>
      <c r="AF55" s="6"/>
      <c r="AG55" s="6"/>
      <c r="AH55" s="6"/>
      <c r="AI55" s="38"/>
      <c r="AJ55" s="6"/>
      <c r="AK55" s="98"/>
      <c r="AL55" s="5"/>
      <c r="AM55" s="6"/>
      <c r="AN55" s="6"/>
      <c r="AO55" s="38"/>
      <c r="AP55" s="6"/>
      <c r="AQ55" s="6"/>
      <c r="AR55" s="6"/>
      <c r="AS55" s="6"/>
      <c r="AT55" s="38"/>
      <c r="AU55" s="6"/>
      <c r="AV55" s="6"/>
      <c r="AW55" s="6"/>
      <c r="AX55" s="6"/>
      <c r="AY55" s="38"/>
      <c r="AZ55" s="6"/>
      <c r="BA55" s="6"/>
      <c r="BB55" s="6"/>
      <c r="BC55" s="6"/>
      <c r="BD55" s="38"/>
      <c r="BE55" s="6"/>
      <c r="BF55" s="703"/>
      <c r="BG55" s="6"/>
      <c r="BH55" s="6"/>
      <c r="BI55" s="38"/>
      <c r="BJ55" s="6"/>
      <c r="BK55" s="698"/>
      <c r="BL55" s="6"/>
      <c r="BM55" s="6"/>
      <c r="BN55" s="38"/>
      <c r="BO55" s="6"/>
      <c r="BP55" s="698"/>
      <c r="BQ55" s="6"/>
      <c r="BR55" s="6"/>
      <c r="BS55" s="38"/>
      <c r="BT55" s="6"/>
    </row>
    <row r="56" spans="1:72" ht="28.5" customHeight="1">
      <c r="U56" s="6"/>
      <c r="V56" s="6"/>
      <c r="W56" s="6"/>
      <c r="X56" s="6"/>
      <c r="Y56" s="38"/>
      <c r="Z56" s="6"/>
      <c r="AA56" s="6"/>
      <c r="AB56" s="6"/>
      <c r="AC56" s="6"/>
      <c r="AD56" s="38"/>
      <c r="AE56" s="6"/>
      <c r="AF56" s="6"/>
      <c r="AG56" s="6"/>
      <c r="AH56" s="6"/>
      <c r="AI56" s="38"/>
      <c r="AJ56" s="6"/>
      <c r="AK56" s="98"/>
      <c r="AL56" s="5"/>
      <c r="AM56" s="6"/>
      <c r="AN56" s="6"/>
      <c r="AO56" s="38"/>
      <c r="AP56" s="6"/>
      <c r="AQ56" s="6"/>
      <c r="AR56" s="6"/>
      <c r="AS56" s="6"/>
      <c r="AT56" s="38"/>
      <c r="AU56" s="6"/>
      <c r="AV56" s="6"/>
      <c r="AW56" s="6"/>
      <c r="AX56" s="6"/>
      <c r="AY56" s="38"/>
      <c r="AZ56" s="6"/>
      <c r="BA56" s="6"/>
      <c r="BB56" s="6"/>
      <c r="BC56" s="6"/>
      <c r="BD56" s="38"/>
      <c r="BE56" s="6"/>
      <c r="BF56" s="703"/>
      <c r="BG56" s="6"/>
      <c r="BH56" s="6"/>
      <c r="BI56" s="38"/>
      <c r="BJ56" s="6"/>
      <c r="BK56" s="698"/>
      <c r="BL56" s="6"/>
      <c r="BM56" s="6"/>
      <c r="BN56" s="38"/>
      <c r="BO56" s="6"/>
      <c r="BP56" s="698"/>
      <c r="BQ56" s="6"/>
      <c r="BR56" s="6"/>
      <c r="BS56" s="38"/>
      <c r="BT56" s="6"/>
    </row>
    <row r="57" spans="1:72" ht="28.5" customHeight="1">
      <c r="U57" s="6"/>
      <c r="V57" s="6"/>
      <c r="W57" s="6"/>
      <c r="X57" s="6"/>
      <c r="Y57" s="38"/>
      <c r="Z57" s="6"/>
      <c r="AA57" s="6"/>
      <c r="AB57" s="6"/>
      <c r="AC57" s="6"/>
      <c r="AD57" s="38"/>
      <c r="AE57" s="6"/>
      <c r="AF57" s="6"/>
      <c r="AG57" s="6"/>
      <c r="AH57" s="6"/>
      <c r="AI57" s="38"/>
      <c r="AJ57" s="6"/>
      <c r="AK57" s="98"/>
      <c r="AL57" s="5"/>
      <c r="AM57" s="6"/>
      <c r="AN57" s="6"/>
      <c r="AO57" s="38"/>
      <c r="AP57" s="6"/>
      <c r="AQ57" s="6"/>
      <c r="AR57" s="6"/>
      <c r="AS57" s="6"/>
      <c r="AT57" s="38"/>
      <c r="AU57" s="6"/>
      <c r="AV57" s="6"/>
      <c r="AW57" s="6"/>
      <c r="AX57" s="6"/>
      <c r="AY57" s="38"/>
      <c r="AZ57" s="6"/>
      <c r="BA57" s="6"/>
      <c r="BB57" s="6"/>
      <c r="BC57" s="6"/>
      <c r="BD57" s="38"/>
      <c r="BE57" s="6"/>
      <c r="BF57" s="703"/>
      <c r="BG57" s="6"/>
      <c r="BH57" s="6"/>
      <c r="BI57" s="38"/>
      <c r="BJ57" s="6"/>
      <c r="BK57" s="698"/>
      <c r="BL57" s="6"/>
      <c r="BM57" s="6"/>
      <c r="BN57" s="38"/>
      <c r="BO57" s="6"/>
      <c r="BP57" s="698"/>
      <c r="BQ57" s="6"/>
      <c r="BR57" s="6"/>
      <c r="BS57" s="38"/>
      <c r="BT57" s="6"/>
    </row>
    <row r="58" spans="1:72" ht="28.5" customHeight="1">
      <c r="U58" s="6"/>
      <c r="V58" s="6"/>
      <c r="W58" s="6"/>
      <c r="X58" s="6"/>
      <c r="Y58" s="38"/>
      <c r="Z58" s="6"/>
      <c r="AA58" s="6"/>
      <c r="AB58" s="6"/>
      <c r="AC58" s="6"/>
      <c r="AD58" s="38"/>
      <c r="AE58" s="6"/>
      <c r="AF58" s="6"/>
      <c r="AG58" s="6"/>
      <c r="AH58" s="6"/>
      <c r="AI58" s="38"/>
      <c r="AJ58" s="6"/>
      <c r="AK58" s="98"/>
      <c r="AL58" s="5"/>
      <c r="AM58" s="6"/>
      <c r="AN58" s="6"/>
      <c r="AO58" s="38"/>
      <c r="AP58" s="6"/>
      <c r="AQ58" s="6"/>
      <c r="AR58" s="6"/>
      <c r="AS58" s="6"/>
      <c r="AT58" s="38"/>
      <c r="AU58" s="6"/>
      <c r="AV58" s="6"/>
      <c r="AW58" s="6"/>
      <c r="AX58" s="6"/>
      <c r="AY58" s="38"/>
      <c r="AZ58" s="6"/>
      <c r="BA58" s="6"/>
      <c r="BB58" s="6"/>
      <c r="BC58" s="6"/>
      <c r="BD58" s="38"/>
      <c r="BE58" s="6"/>
      <c r="BF58" s="703"/>
      <c r="BG58" s="6"/>
      <c r="BH58" s="6"/>
      <c r="BI58" s="38"/>
      <c r="BJ58" s="6"/>
      <c r="BK58" s="698"/>
      <c r="BL58" s="6"/>
      <c r="BM58" s="6"/>
      <c r="BN58" s="38"/>
      <c r="BO58" s="6"/>
      <c r="BP58" s="698"/>
      <c r="BQ58" s="6"/>
      <c r="BR58" s="6"/>
      <c r="BS58" s="38"/>
      <c r="BT58" s="6"/>
    </row>
    <row r="59" spans="1:72" ht="28.5" customHeight="1">
      <c r="U59" s="6"/>
      <c r="V59" s="6"/>
      <c r="W59" s="6"/>
      <c r="X59" s="6"/>
      <c r="Y59" s="38"/>
      <c r="Z59" s="6"/>
      <c r="AA59" s="6"/>
      <c r="AB59" s="6"/>
      <c r="AC59" s="6"/>
      <c r="AD59" s="38"/>
      <c r="AE59" s="6"/>
      <c r="AF59" s="6"/>
      <c r="AG59" s="6"/>
      <c r="AH59" s="6"/>
      <c r="AI59" s="38"/>
      <c r="AJ59" s="6"/>
      <c r="AK59" s="98"/>
      <c r="AL59" s="5"/>
      <c r="AM59" s="6"/>
      <c r="AN59" s="6"/>
      <c r="AO59" s="38"/>
      <c r="AP59" s="6"/>
      <c r="AQ59" s="6"/>
      <c r="AR59" s="6"/>
      <c r="AS59" s="6"/>
      <c r="AT59" s="38"/>
      <c r="AU59" s="6"/>
      <c r="AV59" s="6"/>
      <c r="AW59" s="6"/>
      <c r="AX59" s="6"/>
      <c r="AY59" s="38"/>
      <c r="AZ59" s="6"/>
      <c r="BA59" s="6"/>
      <c r="BB59" s="6"/>
      <c r="BC59" s="6"/>
      <c r="BD59" s="38"/>
      <c r="BE59" s="6"/>
      <c r="BF59" s="703"/>
      <c r="BG59" s="6"/>
      <c r="BH59" s="6"/>
      <c r="BI59" s="38"/>
      <c r="BJ59" s="6"/>
      <c r="BK59" s="698"/>
      <c r="BL59" s="6"/>
      <c r="BM59" s="6"/>
      <c r="BN59" s="38"/>
      <c r="BO59" s="6"/>
      <c r="BP59" s="698"/>
      <c r="BQ59" s="6"/>
      <c r="BR59" s="6"/>
      <c r="BS59" s="38"/>
      <c r="BT59" s="6"/>
    </row>
    <row r="60" spans="1:72" ht="28.5" customHeight="1">
      <c r="U60" s="6"/>
      <c r="V60" s="6"/>
      <c r="W60" s="6"/>
      <c r="X60" s="6"/>
      <c r="Y60" s="38"/>
      <c r="Z60" s="6"/>
      <c r="AA60" s="6"/>
      <c r="AB60" s="6"/>
      <c r="AC60" s="6"/>
      <c r="AD60" s="38"/>
      <c r="AE60" s="6"/>
      <c r="AF60" s="6"/>
      <c r="AG60" s="6"/>
      <c r="AH60" s="6"/>
      <c r="AI60" s="38"/>
      <c r="AJ60" s="6"/>
      <c r="AK60" s="98"/>
      <c r="AL60" s="5"/>
      <c r="AM60" s="6"/>
      <c r="AN60" s="6"/>
      <c r="AO60" s="38"/>
      <c r="AP60" s="6"/>
      <c r="AQ60" s="6"/>
      <c r="AR60" s="6"/>
      <c r="AS60" s="6"/>
      <c r="AT60" s="38"/>
      <c r="AU60" s="6"/>
      <c r="AV60" s="6"/>
      <c r="AW60" s="6"/>
      <c r="AX60" s="6"/>
      <c r="AY60" s="38"/>
      <c r="AZ60" s="6"/>
      <c r="BA60" s="6"/>
      <c r="BB60" s="6"/>
      <c r="BC60" s="6"/>
      <c r="BD60" s="38"/>
      <c r="BE60" s="6"/>
      <c r="BF60" s="703"/>
      <c r="BG60" s="6"/>
      <c r="BH60" s="6"/>
      <c r="BI60" s="38"/>
      <c r="BJ60" s="6"/>
      <c r="BK60" s="698"/>
      <c r="BL60" s="6"/>
      <c r="BM60" s="6"/>
      <c r="BN60" s="38"/>
      <c r="BO60" s="6"/>
      <c r="BP60" s="698"/>
      <c r="BQ60" s="6"/>
      <c r="BR60" s="6"/>
      <c r="BS60" s="38"/>
      <c r="BT60" s="6"/>
    </row>
    <row r="61" spans="1:72" ht="28.5" customHeight="1">
      <c r="AL61" s="5"/>
    </row>
    <row r="62" spans="1:72" ht="28.5" customHeight="1">
      <c r="AL62" s="5"/>
    </row>
    <row r="63" spans="1:72" ht="28.5" customHeight="1">
      <c r="AL63" s="5"/>
    </row>
    <row r="64" spans="1:72" ht="28.5" customHeight="1">
      <c r="AL64"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11">
    <mergeCell ref="BV2:BZ2"/>
    <mergeCell ref="BV3:BZ3"/>
    <mergeCell ref="WNY47:WOO47"/>
    <mergeCell ref="WOP47:WPF47"/>
    <mergeCell ref="WPG47:WPW47"/>
    <mergeCell ref="WPX47:WQN47"/>
    <mergeCell ref="WQO47:WRE47"/>
    <mergeCell ref="WKR47:WLH47"/>
    <mergeCell ref="WLI47:WLY47"/>
    <mergeCell ref="WLZ47:WMP47"/>
    <mergeCell ref="WMQ47:WNG47"/>
    <mergeCell ref="WNH47:WNX47"/>
    <mergeCell ref="WHK47:WIA47"/>
    <mergeCell ref="XBA47:XBQ47"/>
    <mergeCell ref="XBR47:XCH47"/>
    <mergeCell ref="XCI47:XCY47"/>
    <mergeCell ref="XCZ47:XDP47"/>
    <mergeCell ref="WED47:WET47"/>
    <mergeCell ref="WEU47:WFK47"/>
    <mergeCell ref="WFL47:WGB47"/>
    <mergeCell ref="WGC47:WGS47"/>
    <mergeCell ref="WGT47:WHJ47"/>
    <mergeCell ref="WAW47:WBM47"/>
    <mergeCell ref="WBN47:WCD47"/>
    <mergeCell ref="WCE47:WCU47"/>
    <mergeCell ref="WCV47:WDL47"/>
    <mergeCell ref="WDM47:WEC47"/>
    <mergeCell ref="VXP47:VYF47"/>
    <mergeCell ref="VYG47:VYW47"/>
    <mergeCell ref="VYX47:VZN47"/>
    <mergeCell ref="VZO47:WAE47"/>
    <mergeCell ref="WAF47:WAV47"/>
    <mergeCell ref="XDQ47:XEC47"/>
    <mergeCell ref="WXT47:WYJ47"/>
    <mergeCell ref="WYK47:WZA47"/>
    <mergeCell ref="WZB47:WZR47"/>
    <mergeCell ref="WZS47:XAI47"/>
    <mergeCell ref="XAJ47:XAZ47"/>
    <mergeCell ref="WUM47:WVC47"/>
    <mergeCell ref="WVD47:WVT47"/>
    <mergeCell ref="WVU47:WWK47"/>
    <mergeCell ref="WWL47:WXB47"/>
    <mergeCell ref="WXC47:WXS47"/>
    <mergeCell ref="WRF47:WRV47"/>
    <mergeCell ref="WRW47:WSM47"/>
    <mergeCell ref="WSN47:WTD47"/>
    <mergeCell ref="WTE47:WTU47"/>
    <mergeCell ref="WTV47:WUL47"/>
    <mergeCell ref="WIB47:WIR47"/>
    <mergeCell ref="WIS47:WJI47"/>
    <mergeCell ref="WJJ47:WJZ47"/>
    <mergeCell ref="WKA47:WKQ47"/>
    <mergeCell ref="VUI47:VUY47"/>
    <mergeCell ref="VUZ47:VVP47"/>
    <mergeCell ref="VVQ47:VWG47"/>
    <mergeCell ref="VWH47:VWX47"/>
    <mergeCell ref="VWY47:VXO47"/>
    <mergeCell ref="VRB47:VRR47"/>
    <mergeCell ref="VRS47:VSI47"/>
    <mergeCell ref="VSJ47:VSZ47"/>
    <mergeCell ref="VTA47:VTQ47"/>
    <mergeCell ref="VTR47:VUH47"/>
    <mergeCell ref="VNU47:VOK47"/>
    <mergeCell ref="VOL47:VPB47"/>
    <mergeCell ref="VPC47:VPS47"/>
    <mergeCell ref="VPT47:VQJ47"/>
    <mergeCell ref="VQK47:VRA47"/>
    <mergeCell ref="VKN47:VLD47"/>
    <mergeCell ref="VLE47:VLU47"/>
    <mergeCell ref="VLV47:VML47"/>
    <mergeCell ref="VMM47:VNC47"/>
    <mergeCell ref="VND47:VNT47"/>
    <mergeCell ref="VHG47:VHW47"/>
    <mergeCell ref="VHX47:VIN47"/>
    <mergeCell ref="VIO47:VJE47"/>
    <mergeCell ref="VJF47:VJV47"/>
    <mergeCell ref="VJW47:VKM47"/>
    <mergeCell ref="VDZ47:VEP47"/>
    <mergeCell ref="VEQ47:VFG47"/>
    <mergeCell ref="VFH47:VFX47"/>
    <mergeCell ref="VFY47:VGO47"/>
    <mergeCell ref="VGP47:VHF47"/>
    <mergeCell ref="VAS47:VBI47"/>
    <mergeCell ref="VBJ47:VBZ47"/>
    <mergeCell ref="VCA47:VCQ47"/>
    <mergeCell ref="VCR47:VDH47"/>
    <mergeCell ref="VDI47:VDY47"/>
    <mergeCell ref="UXL47:UYB47"/>
    <mergeCell ref="UYC47:UYS47"/>
    <mergeCell ref="UYT47:UZJ47"/>
    <mergeCell ref="UZK47:VAA47"/>
    <mergeCell ref="VAB47:VAR47"/>
    <mergeCell ref="UUE47:UUU47"/>
    <mergeCell ref="UUV47:UVL47"/>
    <mergeCell ref="UVM47:UWC47"/>
    <mergeCell ref="UWD47:UWT47"/>
    <mergeCell ref="UWU47:UXK47"/>
    <mergeCell ref="UQX47:URN47"/>
    <mergeCell ref="URO47:USE47"/>
    <mergeCell ref="USF47:USV47"/>
    <mergeCell ref="USW47:UTM47"/>
    <mergeCell ref="UTN47:UUD47"/>
    <mergeCell ref="UNQ47:UOG47"/>
    <mergeCell ref="UOH47:UOX47"/>
    <mergeCell ref="UOY47:UPO47"/>
    <mergeCell ref="UPP47:UQF47"/>
    <mergeCell ref="UQG47:UQW47"/>
    <mergeCell ref="UKJ47:UKZ47"/>
    <mergeCell ref="ULA47:ULQ47"/>
    <mergeCell ref="ULR47:UMH47"/>
    <mergeCell ref="UMI47:UMY47"/>
    <mergeCell ref="UMZ47:UNP47"/>
    <mergeCell ref="UHC47:UHS47"/>
    <mergeCell ref="UHT47:UIJ47"/>
    <mergeCell ref="UIK47:UJA47"/>
    <mergeCell ref="UJB47:UJR47"/>
    <mergeCell ref="UJS47:UKI47"/>
    <mergeCell ref="UDV47:UEL47"/>
    <mergeCell ref="UEM47:UFC47"/>
    <mergeCell ref="UFD47:UFT47"/>
    <mergeCell ref="UFU47:UGK47"/>
    <mergeCell ref="UGL47:UHB47"/>
    <mergeCell ref="UAO47:UBE47"/>
    <mergeCell ref="UBF47:UBV47"/>
    <mergeCell ref="UBW47:UCM47"/>
    <mergeCell ref="UCN47:UDD47"/>
    <mergeCell ref="UDE47:UDU47"/>
    <mergeCell ref="TXH47:TXX47"/>
    <mergeCell ref="TXY47:TYO47"/>
    <mergeCell ref="TYP47:TZF47"/>
    <mergeCell ref="TZG47:TZW47"/>
    <mergeCell ref="TZX47:UAN47"/>
    <mergeCell ref="TUA47:TUQ47"/>
    <mergeCell ref="TUR47:TVH47"/>
    <mergeCell ref="TVI47:TVY47"/>
    <mergeCell ref="TVZ47:TWP47"/>
    <mergeCell ref="TWQ47:TXG47"/>
    <mergeCell ref="TQT47:TRJ47"/>
    <mergeCell ref="TRK47:TSA47"/>
    <mergeCell ref="TSB47:TSR47"/>
    <mergeCell ref="TSS47:TTI47"/>
    <mergeCell ref="TTJ47:TTZ47"/>
    <mergeCell ref="TNM47:TOC47"/>
    <mergeCell ref="TOD47:TOT47"/>
    <mergeCell ref="TOU47:TPK47"/>
    <mergeCell ref="TPL47:TQB47"/>
    <mergeCell ref="TQC47:TQS47"/>
    <mergeCell ref="TKF47:TKV47"/>
    <mergeCell ref="TKW47:TLM47"/>
    <mergeCell ref="TLN47:TMD47"/>
    <mergeCell ref="TME47:TMU47"/>
    <mergeCell ref="TMV47:TNL47"/>
    <mergeCell ref="TGY47:THO47"/>
    <mergeCell ref="THP47:TIF47"/>
    <mergeCell ref="TIG47:TIW47"/>
    <mergeCell ref="TIX47:TJN47"/>
    <mergeCell ref="TJO47:TKE47"/>
    <mergeCell ref="TDR47:TEH47"/>
    <mergeCell ref="TEI47:TEY47"/>
    <mergeCell ref="TEZ47:TFP47"/>
    <mergeCell ref="TFQ47:TGG47"/>
    <mergeCell ref="TGH47:TGX47"/>
    <mergeCell ref="TAK47:TBA47"/>
    <mergeCell ref="TBB47:TBR47"/>
    <mergeCell ref="TBS47:TCI47"/>
    <mergeCell ref="TCJ47:TCZ47"/>
    <mergeCell ref="TDA47:TDQ47"/>
    <mergeCell ref="SXD47:SXT47"/>
    <mergeCell ref="SXU47:SYK47"/>
    <mergeCell ref="SYL47:SZB47"/>
    <mergeCell ref="SZC47:SZS47"/>
    <mergeCell ref="SZT47:TAJ47"/>
    <mergeCell ref="STW47:SUM47"/>
    <mergeCell ref="SUN47:SVD47"/>
    <mergeCell ref="SVE47:SVU47"/>
    <mergeCell ref="SVV47:SWL47"/>
    <mergeCell ref="SWM47:SXC47"/>
    <mergeCell ref="SQP47:SRF47"/>
    <mergeCell ref="SRG47:SRW47"/>
    <mergeCell ref="SRX47:SSN47"/>
    <mergeCell ref="SSO47:STE47"/>
    <mergeCell ref="STF47:STV47"/>
    <mergeCell ref="SNI47:SNY47"/>
    <mergeCell ref="SNZ47:SOP47"/>
    <mergeCell ref="SOQ47:SPG47"/>
    <mergeCell ref="SPH47:SPX47"/>
    <mergeCell ref="SPY47:SQO47"/>
    <mergeCell ref="SKB47:SKR47"/>
    <mergeCell ref="SKS47:SLI47"/>
    <mergeCell ref="SLJ47:SLZ47"/>
    <mergeCell ref="SMA47:SMQ47"/>
    <mergeCell ref="SMR47:SNH47"/>
    <mergeCell ref="SGU47:SHK47"/>
    <mergeCell ref="SHL47:SIB47"/>
    <mergeCell ref="SIC47:SIS47"/>
    <mergeCell ref="SIT47:SJJ47"/>
    <mergeCell ref="SJK47:SKA47"/>
    <mergeCell ref="SDN47:SED47"/>
    <mergeCell ref="SEE47:SEU47"/>
    <mergeCell ref="SEV47:SFL47"/>
    <mergeCell ref="SFM47:SGC47"/>
    <mergeCell ref="SGD47:SGT47"/>
    <mergeCell ref="SAG47:SAW47"/>
    <mergeCell ref="SAX47:SBN47"/>
    <mergeCell ref="SBO47:SCE47"/>
    <mergeCell ref="SCF47:SCV47"/>
    <mergeCell ref="SCW47:SDM47"/>
    <mergeCell ref="RWZ47:RXP47"/>
    <mergeCell ref="RXQ47:RYG47"/>
    <mergeCell ref="RYH47:RYX47"/>
    <mergeCell ref="RYY47:RZO47"/>
    <mergeCell ref="RZP47:SAF47"/>
    <mergeCell ref="RTS47:RUI47"/>
    <mergeCell ref="RUJ47:RUZ47"/>
    <mergeCell ref="RVA47:RVQ47"/>
    <mergeCell ref="RVR47:RWH47"/>
    <mergeCell ref="RWI47:RWY47"/>
    <mergeCell ref="RQL47:RRB47"/>
    <mergeCell ref="RRC47:RRS47"/>
    <mergeCell ref="RRT47:RSJ47"/>
    <mergeCell ref="RSK47:RTA47"/>
    <mergeCell ref="RTB47:RTR47"/>
    <mergeCell ref="RNE47:RNU47"/>
    <mergeCell ref="RNV47:ROL47"/>
    <mergeCell ref="ROM47:RPC47"/>
    <mergeCell ref="RPD47:RPT47"/>
    <mergeCell ref="RPU47:RQK47"/>
    <mergeCell ref="RJX47:RKN47"/>
    <mergeCell ref="RKO47:RLE47"/>
    <mergeCell ref="RLF47:RLV47"/>
    <mergeCell ref="RLW47:RMM47"/>
    <mergeCell ref="RMN47:RND47"/>
    <mergeCell ref="RGQ47:RHG47"/>
    <mergeCell ref="RHH47:RHX47"/>
    <mergeCell ref="RHY47:RIO47"/>
    <mergeCell ref="RIP47:RJF47"/>
    <mergeCell ref="RJG47:RJW47"/>
    <mergeCell ref="RDJ47:RDZ47"/>
    <mergeCell ref="REA47:REQ47"/>
    <mergeCell ref="RER47:RFH47"/>
    <mergeCell ref="RFI47:RFY47"/>
    <mergeCell ref="RFZ47:RGP47"/>
    <mergeCell ref="RAC47:RAS47"/>
    <mergeCell ref="RAT47:RBJ47"/>
    <mergeCell ref="RBK47:RCA47"/>
    <mergeCell ref="RCB47:RCR47"/>
    <mergeCell ref="RCS47:RDI47"/>
    <mergeCell ref="QWV47:QXL47"/>
    <mergeCell ref="QXM47:QYC47"/>
    <mergeCell ref="QYD47:QYT47"/>
    <mergeCell ref="QYU47:QZK47"/>
    <mergeCell ref="QZL47:RAB47"/>
    <mergeCell ref="QTO47:QUE47"/>
    <mergeCell ref="QUF47:QUV47"/>
    <mergeCell ref="QUW47:QVM47"/>
    <mergeCell ref="QVN47:QWD47"/>
    <mergeCell ref="QWE47:QWU47"/>
    <mergeCell ref="QQH47:QQX47"/>
    <mergeCell ref="QQY47:QRO47"/>
    <mergeCell ref="QRP47:QSF47"/>
    <mergeCell ref="QSG47:QSW47"/>
    <mergeCell ref="QSX47:QTN47"/>
    <mergeCell ref="QNA47:QNQ47"/>
    <mergeCell ref="QNR47:QOH47"/>
    <mergeCell ref="QOI47:QOY47"/>
    <mergeCell ref="QOZ47:QPP47"/>
    <mergeCell ref="QPQ47:QQG47"/>
    <mergeCell ref="QJT47:QKJ47"/>
    <mergeCell ref="QKK47:QLA47"/>
    <mergeCell ref="QLB47:QLR47"/>
    <mergeCell ref="QLS47:QMI47"/>
    <mergeCell ref="QMJ47:QMZ47"/>
    <mergeCell ref="QGM47:QHC47"/>
    <mergeCell ref="QHD47:QHT47"/>
    <mergeCell ref="QHU47:QIK47"/>
    <mergeCell ref="QIL47:QJB47"/>
    <mergeCell ref="QJC47:QJS47"/>
    <mergeCell ref="QDF47:QDV47"/>
    <mergeCell ref="QDW47:QEM47"/>
    <mergeCell ref="QEN47:QFD47"/>
    <mergeCell ref="QFE47:QFU47"/>
    <mergeCell ref="QFV47:QGL47"/>
    <mergeCell ref="PZY47:QAO47"/>
    <mergeCell ref="QAP47:QBF47"/>
    <mergeCell ref="QBG47:QBW47"/>
    <mergeCell ref="QBX47:QCN47"/>
    <mergeCell ref="QCO47:QDE47"/>
    <mergeCell ref="PWR47:PXH47"/>
    <mergeCell ref="PXI47:PXY47"/>
    <mergeCell ref="PXZ47:PYP47"/>
    <mergeCell ref="PYQ47:PZG47"/>
    <mergeCell ref="PZH47:PZX47"/>
    <mergeCell ref="PTK47:PUA47"/>
    <mergeCell ref="PUB47:PUR47"/>
    <mergeCell ref="PUS47:PVI47"/>
    <mergeCell ref="PVJ47:PVZ47"/>
    <mergeCell ref="PWA47:PWQ47"/>
    <mergeCell ref="PQD47:PQT47"/>
    <mergeCell ref="PQU47:PRK47"/>
    <mergeCell ref="PRL47:PSB47"/>
    <mergeCell ref="PSC47:PSS47"/>
    <mergeCell ref="PST47:PTJ47"/>
    <mergeCell ref="PMW47:PNM47"/>
    <mergeCell ref="PNN47:POD47"/>
    <mergeCell ref="POE47:POU47"/>
    <mergeCell ref="POV47:PPL47"/>
    <mergeCell ref="PPM47:PQC47"/>
    <mergeCell ref="PJP47:PKF47"/>
    <mergeCell ref="PKG47:PKW47"/>
    <mergeCell ref="PKX47:PLN47"/>
    <mergeCell ref="PLO47:PME47"/>
    <mergeCell ref="PMF47:PMV47"/>
    <mergeCell ref="PGI47:PGY47"/>
    <mergeCell ref="PGZ47:PHP47"/>
    <mergeCell ref="PHQ47:PIG47"/>
    <mergeCell ref="PIH47:PIX47"/>
    <mergeCell ref="PIY47:PJO47"/>
    <mergeCell ref="PDB47:PDR47"/>
    <mergeCell ref="PDS47:PEI47"/>
    <mergeCell ref="PEJ47:PEZ47"/>
    <mergeCell ref="PFA47:PFQ47"/>
    <mergeCell ref="PFR47:PGH47"/>
    <mergeCell ref="OZU47:PAK47"/>
    <mergeCell ref="PAL47:PBB47"/>
    <mergeCell ref="PBC47:PBS47"/>
    <mergeCell ref="PBT47:PCJ47"/>
    <mergeCell ref="PCK47:PDA47"/>
    <mergeCell ref="OWN47:OXD47"/>
    <mergeCell ref="OXE47:OXU47"/>
    <mergeCell ref="OXV47:OYL47"/>
    <mergeCell ref="OYM47:OZC47"/>
    <mergeCell ref="OZD47:OZT47"/>
    <mergeCell ref="OTG47:OTW47"/>
    <mergeCell ref="OTX47:OUN47"/>
    <mergeCell ref="OUO47:OVE47"/>
    <mergeCell ref="OVF47:OVV47"/>
    <mergeCell ref="OVW47:OWM47"/>
    <mergeCell ref="OPZ47:OQP47"/>
    <mergeCell ref="OQQ47:ORG47"/>
    <mergeCell ref="ORH47:ORX47"/>
    <mergeCell ref="ORY47:OSO47"/>
    <mergeCell ref="OSP47:OTF47"/>
    <mergeCell ref="OMS47:ONI47"/>
    <mergeCell ref="ONJ47:ONZ47"/>
    <mergeCell ref="OOA47:OOQ47"/>
    <mergeCell ref="OOR47:OPH47"/>
    <mergeCell ref="OPI47:OPY47"/>
    <mergeCell ref="OJL47:OKB47"/>
    <mergeCell ref="OKC47:OKS47"/>
    <mergeCell ref="OKT47:OLJ47"/>
    <mergeCell ref="OLK47:OMA47"/>
    <mergeCell ref="OMB47:OMR47"/>
    <mergeCell ref="OGE47:OGU47"/>
    <mergeCell ref="OGV47:OHL47"/>
    <mergeCell ref="OHM47:OIC47"/>
    <mergeCell ref="OID47:OIT47"/>
    <mergeCell ref="OIU47:OJK47"/>
    <mergeCell ref="OCX47:ODN47"/>
    <mergeCell ref="ODO47:OEE47"/>
    <mergeCell ref="OEF47:OEV47"/>
    <mergeCell ref="OEW47:OFM47"/>
    <mergeCell ref="OFN47:OGD47"/>
    <mergeCell ref="NZQ47:OAG47"/>
    <mergeCell ref="OAH47:OAX47"/>
    <mergeCell ref="OAY47:OBO47"/>
    <mergeCell ref="OBP47:OCF47"/>
    <mergeCell ref="OCG47:OCW47"/>
    <mergeCell ref="NWJ47:NWZ47"/>
    <mergeCell ref="NXA47:NXQ47"/>
    <mergeCell ref="NXR47:NYH47"/>
    <mergeCell ref="NYI47:NYY47"/>
    <mergeCell ref="NYZ47:NZP47"/>
    <mergeCell ref="NTC47:NTS47"/>
    <mergeCell ref="NTT47:NUJ47"/>
    <mergeCell ref="NUK47:NVA47"/>
    <mergeCell ref="NVB47:NVR47"/>
    <mergeCell ref="NVS47:NWI47"/>
    <mergeCell ref="NPV47:NQL47"/>
    <mergeCell ref="NQM47:NRC47"/>
    <mergeCell ref="NRD47:NRT47"/>
    <mergeCell ref="NRU47:NSK47"/>
    <mergeCell ref="NSL47:NTB47"/>
    <mergeCell ref="NMO47:NNE47"/>
    <mergeCell ref="NNF47:NNV47"/>
    <mergeCell ref="NNW47:NOM47"/>
    <mergeCell ref="NON47:NPD47"/>
    <mergeCell ref="NPE47:NPU47"/>
    <mergeCell ref="NJH47:NJX47"/>
    <mergeCell ref="NJY47:NKO47"/>
    <mergeCell ref="NKP47:NLF47"/>
    <mergeCell ref="NLG47:NLW47"/>
    <mergeCell ref="NLX47:NMN47"/>
    <mergeCell ref="NGA47:NGQ47"/>
    <mergeCell ref="NGR47:NHH47"/>
    <mergeCell ref="NHI47:NHY47"/>
    <mergeCell ref="NHZ47:NIP47"/>
    <mergeCell ref="NIQ47:NJG47"/>
    <mergeCell ref="NCT47:NDJ47"/>
    <mergeCell ref="NDK47:NEA47"/>
    <mergeCell ref="NEB47:NER47"/>
    <mergeCell ref="NES47:NFI47"/>
    <mergeCell ref="NFJ47:NFZ47"/>
    <mergeCell ref="MZM47:NAC47"/>
    <mergeCell ref="NAD47:NAT47"/>
    <mergeCell ref="NAU47:NBK47"/>
    <mergeCell ref="NBL47:NCB47"/>
    <mergeCell ref="NCC47:NCS47"/>
    <mergeCell ref="MWF47:MWV47"/>
    <mergeCell ref="MWW47:MXM47"/>
    <mergeCell ref="MXN47:MYD47"/>
    <mergeCell ref="MYE47:MYU47"/>
    <mergeCell ref="MYV47:MZL47"/>
    <mergeCell ref="MSY47:MTO47"/>
    <mergeCell ref="MTP47:MUF47"/>
    <mergeCell ref="MUG47:MUW47"/>
    <mergeCell ref="MUX47:MVN47"/>
    <mergeCell ref="MVO47:MWE47"/>
    <mergeCell ref="MPR47:MQH47"/>
    <mergeCell ref="MQI47:MQY47"/>
    <mergeCell ref="MQZ47:MRP47"/>
    <mergeCell ref="MRQ47:MSG47"/>
    <mergeCell ref="MSH47:MSX47"/>
    <mergeCell ref="MMK47:MNA47"/>
    <mergeCell ref="MNB47:MNR47"/>
    <mergeCell ref="MNS47:MOI47"/>
    <mergeCell ref="MOJ47:MOZ47"/>
    <mergeCell ref="MPA47:MPQ47"/>
    <mergeCell ref="MJD47:MJT47"/>
    <mergeCell ref="MJU47:MKK47"/>
    <mergeCell ref="MKL47:MLB47"/>
    <mergeCell ref="MLC47:MLS47"/>
    <mergeCell ref="MLT47:MMJ47"/>
    <mergeCell ref="MFW47:MGM47"/>
    <mergeCell ref="MGN47:MHD47"/>
    <mergeCell ref="MHE47:MHU47"/>
    <mergeCell ref="MHV47:MIL47"/>
    <mergeCell ref="MIM47:MJC47"/>
    <mergeCell ref="MCP47:MDF47"/>
    <mergeCell ref="MDG47:MDW47"/>
    <mergeCell ref="MDX47:MEN47"/>
    <mergeCell ref="MEO47:MFE47"/>
    <mergeCell ref="MFF47:MFV47"/>
    <mergeCell ref="LZI47:LZY47"/>
    <mergeCell ref="LZZ47:MAP47"/>
    <mergeCell ref="MAQ47:MBG47"/>
    <mergeCell ref="MBH47:MBX47"/>
    <mergeCell ref="MBY47:MCO47"/>
    <mergeCell ref="LWB47:LWR47"/>
    <mergeCell ref="LWS47:LXI47"/>
    <mergeCell ref="LXJ47:LXZ47"/>
    <mergeCell ref="LYA47:LYQ47"/>
    <mergeCell ref="LYR47:LZH47"/>
    <mergeCell ref="LSU47:LTK47"/>
    <mergeCell ref="LTL47:LUB47"/>
    <mergeCell ref="LUC47:LUS47"/>
    <mergeCell ref="LUT47:LVJ47"/>
    <mergeCell ref="LVK47:LWA47"/>
    <mergeCell ref="LPN47:LQD47"/>
    <mergeCell ref="LQE47:LQU47"/>
    <mergeCell ref="LQV47:LRL47"/>
    <mergeCell ref="LRM47:LSC47"/>
    <mergeCell ref="LSD47:LST47"/>
    <mergeCell ref="LMG47:LMW47"/>
    <mergeCell ref="LMX47:LNN47"/>
    <mergeCell ref="LNO47:LOE47"/>
    <mergeCell ref="LOF47:LOV47"/>
    <mergeCell ref="LOW47:LPM47"/>
    <mergeCell ref="LIZ47:LJP47"/>
    <mergeCell ref="LJQ47:LKG47"/>
    <mergeCell ref="LKH47:LKX47"/>
    <mergeCell ref="LKY47:LLO47"/>
    <mergeCell ref="LLP47:LMF47"/>
    <mergeCell ref="LFS47:LGI47"/>
    <mergeCell ref="LGJ47:LGZ47"/>
    <mergeCell ref="LHA47:LHQ47"/>
    <mergeCell ref="LHR47:LIH47"/>
    <mergeCell ref="LII47:LIY47"/>
    <mergeCell ref="LCL47:LDB47"/>
    <mergeCell ref="LDC47:LDS47"/>
    <mergeCell ref="LDT47:LEJ47"/>
    <mergeCell ref="LEK47:LFA47"/>
    <mergeCell ref="LFB47:LFR47"/>
    <mergeCell ref="KZE47:KZU47"/>
    <mergeCell ref="KZV47:LAL47"/>
    <mergeCell ref="LAM47:LBC47"/>
    <mergeCell ref="LBD47:LBT47"/>
    <mergeCell ref="LBU47:LCK47"/>
    <mergeCell ref="KVX47:KWN47"/>
    <mergeCell ref="KWO47:KXE47"/>
    <mergeCell ref="KXF47:KXV47"/>
    <mergeCell ref="KXW47:KYM47"/>
    <mergeCell ref="KYN47:KZD47"/>
    <mergeCell ref="KSQ47:KTG47"/>
    <mergeCell ref="KTH47:KTX47"/>
    <mergeCell ref="KTY47:KUO47"/>
    <mergeCell ref="KUP47:KVF47"/>
    <mergeCell ref="KVG47:KVW47"/>
    <mergeCell ref="KPJ47:KPZ47"/>
    <mergeCell ref="KQA47:KQQ47"/>
    <mergeCell ref="KQR47:KRH47"/>
    <mergeCell ref="KRI47:KRY47"/>
    <mergeCell ref="KRZ47:KSP47"/>
    <mergeCell ref="KMC47:KMS47"/>
    <mergeCell ref="KMT47:KNJ47"/>
    <mergeCell ref="KNK47:KOA47"/>
    <mergeCell ref="KOB47:KOR47"/>
    <mergeCell ref="KOS47:KPI47"/>
    <mergeCell ref="KIV47:KJL47"/>
    <mergeCell ref="KJM47:KKC47"/>
    <mergeCell ref="KKD47:KKT47"/>
    <mergeCell ref="KKU47:KLK47"/>
    <mergeCell ref="KLL47:KMB47"/>
    <mergeCell ref="KFO47:KGE47"/>
    <mergeCell ref="KGF47:KGV47"/>
    <mergeCell ref="KGW47:KHM47"/>
    <mergeCell ref="KHN47:KID47"/>
    <mergeCell ref="KIE47:KIU47"/>
    <mergeCell ref="KCH47:KCX47"/>
    <mergeCell ref="KCY47:KDO47"/>
    <mergeCell ref="KDP47:KEF47"/>
    <mergeCell ref="KEG47:KEW47"/>
    <mergeCell ref="KEX47:KFN47"/>
    <mergeCell ref="JZA47:JZQ47"/>
    <mergeCell ref="JZR47:KAH47"/>
    <mergeCell ref="KAI47:KAY47"/>
    <mergeCell ref="KAZ47:KBP47"/>
    <mergeCell ref="KBQ47:KCG47"/>
    <mergeCell ref="JVT47:JWJ47"/>
    <mergeCell ref="JWK47:JXA47"/>
    <mergeCell ref="JXB47:JXR47"/>
    <mergeCell ref="JXS47:JYI47"/>
    <mergeCell ref="JYJ47:JYZ47"/>
    <mergeCell ref="JSM47:JTC47"/>
    <mergeCell ref="JTD47:JTT47"/>
    <mergeCell ref="JTU47:JUK47"/>
    <mergeCell ref="JUL47:JVB47"/>
    <mergeCell ref="JVC47:JVS47"/>
    <mergeCell ref="JPF47:JPV47"/>
    <mergeCell ref="JPW47:JQM47"/>
    <mergeCell ref="JQN47:JRD47"/>
    <mergeCell ref="JRE47:JRU47"/>
    <mergeCell ref="JRV47:JSL47"/>
    <mergeCell ref="JLY47:JMO47"/>
    <mergeCell ref="JMP47:JNF47"/>
    <mergeCell ref="JNG47:JNW47"/>
    <mergeCell ref="JNX47:JON47"/>
    <mergeCell ref="JOO47:JPE47"/>
    <mergeCell ref="JIR47:JJH47"/>
    <mergeCell ref="JJI47:JJY47"/>
    <mergeCell ref="JJZ47:JKP47"/>
    <mergeCell ref="JKQ47:JLG47"/>
    <mergeCell ref="JLH47:JLX47"/>
    <mergeCell ref="JFK47:JGA47"/>
    <mergeCell ref="JGB47:JGR47"/>
    <mergeCell ref="JGS47:JHI47"/>
    <mergeCell ref="JHJ47:JHZ47"/>
    <mergeCell ref="JIA47:JIQ47"/>
    <mergeCell ref="JCD47:JCT47"/>
    <mergeCell ref="JCU47:JDK47"/>
    <mergeCell ref="JDL47:JEB47"/>
    <mergeCell ref="JEC47:JES47"/>
    <mergeCell ref="JET47:JFJ47"/>
    <mergeCell ref="IYW47:IZM47"/>
    <mergeCell ref="IZN47:JAD47"/>
    <mergeCell ref="JAE47:JAU47"/>
    <mergeCell ref="JAV47:JBL47"/>
    <mergeCell ref="JBM47:JCC47"/>
    <mergeCell ref="IVP47:IWF47"/>
    <mergeCell ref="IWG47:IWW47"/>
    <mergeCell ref="IWX47:IXN47"/>
    <mergeCell ref="IXO47:IYE47"/>
    <mergeCell ref="IYF47:IYV47"/>
    <mergeCell ref="ISI47:ISY47"/>
    <mergeCell ref="ISZ47:ITP47"/>
    <mergeCell ref="ITQ47:IUG47"/>
    <mergeCell ref="IUH47:IUX47"/>
    <mergeCell ref="IUY47:IVO47"/>
    <mergeCell ref="IPB47:IPR47"/>
    <mergeCell ref="IPS47:IQI47"/>
    <mergeCell ref="IQJ47:IQZ47"/>
    <mergeCell ref="IRA47:IRQ47"/>
    <mergeCell ref="IRR47:ISH47"/>
    <mergeCell ref="ILU47:IMK47"/>
    <mergeCell ref="IML47:INB47"/>
    <mergeCell ref="INC47:INS47"/>
    <mergeCell ref="INT47:IOJ47"/>
    <mergeCell ref="IOK47:IPA47"/>
    <mergeCell ref="IIN47:IJD47"/>
    <mergeCell ref="IJE47:IJU47"/>
    <mergeCell ref="IJV47:IKL47"/>
    <mergeCell ref="IKM47:ILC47"/>
    <mergeCell ref="ILD47:ILT47"/>
    <mergeCell ref="IFG47:IFW47"/>
    <mergeCell ref="IFX47:IGN47"/>
    <mergeCell ref="IGO47:IHE47"/>
    <mergeCell ref="IHF47:IHV47"/>
    <mergeCell ref="IHW47:IIM47"/>
    <mergeCell ref="IBZ47:ICP47"/>
    <mergeCell ref="ICQ47:IDG47"/>
    <mergeCell ref="IDH47:IDX47"/>
    <mergeCell ref="IDY47:IEO47"/>
    <mergeCell ref="IEP47:IFF47"/>
    <mergeCell ref="HYS47:HZI47"/>
    <mergeCell ref="HZJ47:HZZ47"/>
    <mergeCell ref="IAA47:IAQ47"/>
    <mergeCell ref="IAR47:IBH47"/>
    <mergeCell ref="IBI47:IBY47"/>
    <mergeCell ref="HVL47:HWB47"/>
    <mergeCell ref="HWC47:HWS47"/>
    <mergeCell ref="HWT47:HXJ47"/>
    <mergeCell ref="HXK47:HYA47"/>
    <mergeCell ref="HYB47:HYR47"/>
    <mergeCell ref="HSE47:HSU47"/>
    <mergeCell ref="HSV47:HTL47"/>
    <mergeCell ref="HTM47:HUC47"/>
    <mergeCell ref="HUD47:HUT47"/>
    <mergeCell ref="HUU47:HVK47"/>
    <mergeCell ref="HOX47:HPN47"/>
    <mergeCell ref="HPO47:HQE47"/>
    <mergeCell ref="HQF47:HQV47"/>
    <mergeCell ref="HQW47:HRM47"/>
    <mergeCell ref="HRN47:HSD47"/>
    <mergeCell ref="HLQ47:HMG47"/>
    <mergeCell ref="HMH47:HMX47"/>
    <mergeCell ref="HMY47:HNO47"/>
    <mergeCell ref="HNP47:HOF47"/>
    <mergeCell ref="HOG47:HOW47"/>
    <mergeCell ref="HIJ47:HIZ47"/>
    <mergeCell ref="HJA47:HJQ47"/>
    <mergeCell ref="HJR47:HKH47"/>
    <mergeCell ref="HKI47:HKY47"/>
    <mergeCell ref="HKZ47:HLP47"/>
    <mergeCell ref="HFC47:HFS47"/>
    <mergeCell ref="HFT47:HGJ47"/>
    <mergeCell ref="HGK47:HHA47"/>
    <mergeCell ref="HHB47:HHR47"/>
    <mergeCell ref="HHS47:HII47"/>
    <mergeCell ref="HBV47:HCL47"/>
    <mergeCell ref="HCM47:HDC47"/>
    <mergeCell ref="HDD47:HDT47"/>
    <mergeCell ref="HDU47:HEK47"/>
    <mergeCell ref="HEL47:HFB47"/>
    <mergeCell ref="GYO47:GZE47"/>
    <mergeCell ref="GZF47:GZV47"/>
    <mergeCell ref="GZW47:HAM47"/>
    <mergeCell ref="HAN47:HBD47"/>
    <mergeCell ref="HBE47:HBU47"/>
    <mergeCell ref="GVH47:GVX47"/>
    <mergeCell ref="GVY47:GWO47"/>
    <mergeCell ref="GWP47:GXF47"/>
    <mergeCell ref="GXG47:GXW47"/>
    <mergeCell ref="GXX47:GYN47"/>
    <mergeCell ref="GSA47:GSQ47"/>
    <mergeCell ref="GSR47:GTH47"/>
    <mergeCell ref="GTI47:GTY47"/>
    <mergeCell ref="GTZ47:GUP47"/>
    <mergeCell ref="GUQ47:GVG47"/>
    <mergeCell ref="GOT47:GPJ47"/>
    <mergeCell ref="GPK47:GQA47"/>
    <mergeCell ref="GQB47:GQR47"/>
    <mergeCell ref="GQS47:GRI47"/>
    <mergeCell ref="GRJ47:GRZ47"/>
    <mergeCell ref="GLM47:GMC47"/>
    <mergeCell ref="GMD47:GMT47"/>
    <mergeCell ref="GMU47:GNK47"/>
    <mergeCell ref="GNL47:GOB47"/>
    <mergeCell ref="GOC47:GOS47"/>
    <mergeCell ref="GIF47:GIV47"/>
    <mergeCell ref="GIW47:GJM47"/>
    <mergeCell ref="GJN47:GKD47"/>
    <mergeCell ref="GKE47:GKU47"/>
    <mergeCell ref="GKV47:GLL47"/>
    <mergeCell ref="GEY47:GFO47"/>
    <mergeCell ref="GFP47:GGF47"/>
    <mergeCell ref="GGG47:GGW47"/>
    <mergeCell ref="GGX47:GHN47"/>
    <mergeCell ref="GHO47:GIE47"/>
    <mergeCell ref="GBR47:GCH47"/>
    <mergeCell ref="GCI47:GCY47"/>
    <mergeCell ref="GCZ47:GDP47"/>
    <mergeCell ref="GDQ47:GEG47"/>
    <mergeCell ref="GEH47:GEX47"/>
    <mergeCell ref="FYK47:FZA47"/>
    <mergeCell ref="FZB47:FZR47"/>
    <mergeCell ref="FZS47:GAI47"/>
    <mergeCell ref="GAJ47:GAZ47"/>
    <mergeCell ref="GBA47:GBQ47"/>
    <mergeCell ref="FVD47:FVT47"/>
    <mergeCell ref="FVU47:FWK47"/>
    <mergeCell ref="FWL47:FXB47"/>
    <mergeCell ref="FXC47:FXS47"/>
    <mergeCell ref="FXT47:FYJ47"/>
    <mergeCell ref="FRW47:FSM47"/>
    <mergeCell ref="FSN47:FTD47"/>
    <mergeCell ref="FTE47:FTU47"/>
    <mergeCell ref="FTV47:FUL47"/>
    <mergeCell ref="FUM47:FVC47"/>
    <mergeCell ref="FOP47:FPF47"/>
    <mergeCell ref="FPG47:FPW47"/>
    <mergeCell ref="FPX47:FQN47"/>
    <mergeCell ref="FQO47:FRE47"/>
    <mergeCell ref="FRF47:FRV47"/>
    <mergeCell ref="FLI47:FLY47"/>
    <mergeCell ref="FLZ47:FMP47"/>
    <mergeCell ref="FMQ47:FNG47"/>
    <mergeCell ref="FNH47:FNX47"/>
    <mergeCell ref="FNY47:FOO47"/>
    <mergeCell ref="FIB47:FIR47"/>
    <mergeCell ref="FIS47:FJI47"/>
    <mergeCell ref="FJJ47:FJZ47"/>
    <mergeCell ref="FKA47:FKQ47"/>
    <mergeCell ref="FKR47:FLH47"/>
    <mergeCell ref="FEU47:FFK47"/>
    <mergeCell ref="FFL47:FGB47"/>
    <mergeCell ref="FGC47:FGS47"/>
    <mergeCell ref="FGT47:FHJ47"/>
    <mergeCell ref="FHK47:FIA47"/>
    <mergeCell ref="FBN47:FCD47"/>
    <mergeCell ref="FCE47:FCU47"/>
    <mergeCell ref="FCV47:FDL47"/>
    <mergeCell ref="FDM47:FEC47"/>
    <mergeCell ref="FED47:FET47"/>
    <mergeCell ref="EYG47:EYW47"/>
    <mergeCell ref="EYX47:EZN47"/>
    <mergeCell ref="EZO47:FAE47"/>
    <mergeCell ref="FAF47:FAV47"/>
    <mergeCell ref="FAW47:FBM47"/>
    <mergeCell ref="EUZ47:EVP47"/>
    <mergeCell ref="EVQ47:EWG47"/>
    <mergeCell ref="EWH47:EWX47"/>
    <mergeCell ref="EWY47:EXO47"/>
    <mergeCell ref="EXP47:EYF47"/>
    <mergeCell ref="ERS47:ESI47"/>
    <mergeCell ref="ESJ47:ESZ47"/>
    <mergeCell ref="ETA47:ETQ47"/>
    <mergeCell ref="ETR47:EUH47"/>
    <mergeCell ref="EUI47:EUY47"/>
    <mergeCell ref="EOL47:EPB47"/>
    <mergeCell ref="EPC47:EPS47"/>
    <mergeCell ref="EPT47:EQJ47"/>
    <mergeCell ref="EQK47:ERA47"/>
    <mergeCell ref="ERB47:ERR47"/>
    <mergeCell ref="ELE47:ELU47"/>
    <mergeCell ref="ELV47:EML47"/>
    <mergeCell ref="EMM47:ENC47"/>
    <mergeCell ref="END47:ENT47"/>
    <mergeCell ref="ENU47:EOK47"/>
    <mergeCell ref="EHX47:EIN47"/>
    <mergeCell ref="EIO47:EJE47"/>
    <mergeCell ref="EJF47:EJV47"/>
    <mergeCell ref="EJW47:EKM47"/>
    <mergeCell ref="EKN47:ELD47"/>
    <mergeCell ref="EEQ47:EFG47"/>
    <mergeCell ref="EFH47:EFX47"/>
    <mergeCell ref="EFY47:EGO47"/>
    <mergeCell ref="EGP47:EHF47"/>
    <mergeCell ref="EHG47:EHW47"/>
    <mergeCell ref="EBJ47:EBZ47"/>
    <mergeCell ref="ECA47:ECQ47"/>
    <mergeCell ref="ECR47:EDH47"/>
    <mergeCell ref="EDI47:EDY47"/>
    <mergeCell ref="EDZ47:EEP47"/>
    <mergeCell ref="DYC47:DYS47"/>
    <mergeCell ref="DYT47:DZJ47"/>
    <mergeCell ref="DZK47:EAA47"/>
    <mergeCell ref="EAB47:EAR47"/>
    <mergeCell ref="EAS47:EBI47"/>
    <mergeCell ref="DUV47:DVL47"/>
    <mergeCell ref="DVM47:DWC47"/>
    <mergeCell ref="DWD47:DWT47"/>
    <mergeCell ref="DWU47:DXK47"/>
    <mergeCell ref="DXL47:DYB47"/>
    <mergeCell ref="DRO47:DSE47"/>
    <mergeCell ref="DSF47:DSV47"/>
    <mergeCell ref="DSW47:DTM47"/>
    <mergeCell ref="DTN47:DUD47"/>
    <mergeCell ref="DUE47:DUU47"/>
    <mergeCell ref="DOH47:DOX47"/>
    <mergeCell ref="DOY47:DPO47"/>
    <mergeCell ref="DPP47:DQF47"/>
    <mergeCell ref="DQG47:DQW47"/>
    <mergeCell ref="DQX47:DRN47"/>
    <mergeCell ref="DLA47:DLQ47"/>
    <mergeCell ref="DLR47:DMH47"/>
    <mergeCell ref="DMI47:DMY47"/>
    <mergeCell ref="DMZ47:DNP47"/>
    <mergeCell ref="DNQ47:DOG47"/>
    <mergeCell ref="DHT47:DIJ47"/>
    <mergeCell ref="DIK47:DJA47"/>
    <mergeCell ref="DJB47:DJR47"/>
    <mergeCell ref="DJS47:DKI47"/>
    <mergeCell ref="DKJ47:DKZ47"/>
    <mergeCell ref="DEM47:DFC47"/>
    <mergeCell ref="DFD47:DFT47"/>
    <mergeCell ref="DFU47:DGK47"/>
    <mergeCell ref="DGL47:DHB47"/>
    <mergeCell ref="DHC47:DHS47"/>
    <mergeCell ref="DBF47:DBV47"/>
    <mergeCell ref="DBW47:DCM47"/>
    <mergeCell ref="DCN47:DDD47"/>
    <mergeCell ref="DDE47:DDU47"/>
    <mergeCell ref="DDV47:DEL47"/>
    <mergeCell ref="CXY47:CYO47"/>
    <mergeCell ref="CYP47:CZF47"/>
    <mergeCell ref="CZG47:CZW47"/>
    <mergeCell ref="CZX47:DAN47"/>
    <mergeCell ref="DAO47:DBE47"/>
    <mergeCell ref="CUR47:CVH47"/>
    <mergeCell ref="CVI47:CVY47"/>
    <mergeCell ref="CVZ47:CWP47"/>
    <mergeCell ref="CWQ47:CXG47"/>
    <mergeCell ref="CXH47:CXX47"/>
    <mergeCell ref="CRK47:CSA47"/>
    <mergeCell ref="CSB47:CSR47"/>
    <mergeCell ref="CSS47:CTI47"/>
    <mergeCell ref="CTJ47:CTZ47"/>
    <mergeCell ref="CUA47:CUQ47"/>
    <mergeCell ref="COD47:COT47"/>
    <mergeCell ref="COU47:CPK47"/>
    <mergeCell ref="CPL47:CQB47"/>
    <mergeCell ref="CQC47:CQS47"/>
    <mergeCell ref="CQT47:CRJ47"/>
    <mergeCell ref="CKW47:CLM47"/>
    <mergeCell ref="CLN47:CMD47"/>
    <mergeCell ref="CME47:CMU47"/>
    <mergeCell ref="CMV47:CNL47"/>
    <mergeCell ref="CNM47:COC47"/>
    <mergeCell ref="CHP47:CIF47"/>
    <mergeCell ref="CIG47:CIW47"/>
    <mergeCell ref="CIX47:CJN47"/>
    <mergeCell ref="CJO47:CKE47"/>
    <mergeCell ref="CKF47:CKV47"/>
    <mergeCell ref="CEI47:CEY47"/>
    <mergeCell ref="CEZ47:CFP47"/>
    <mergeCell ref="CFQ47:CGG47"/>
    <mergeCell ref="CGH47:CGX47"/>
    <mergeCell ref="CGY47:CHO47"/>
    <mergeCell ref="CBB47:CBR47"/>
    <mergeCell ref="CBS47:CCI47"/>
    <mergeCell ref="CCJ47:CCZ47"/>
    <mergeCell ref="CDA47:CDQ47"/>
    <mergeCell ref="CDR47:CEH47"/>
    <mergeCell ref="BXU47:BYK47"/>
    <mergeCell ref="BYL47:BZB47"/>
    <mergeCell ref="BZC47:BZS47"/>
    <mergeCell ref="BZT47:CAJ47"/>
    <mergeCell ref="CAK47:CBA47"/>
    <mergeCell ref="BUN47:BVD47"/>
    <mergeCell ref="BVE47:BVU47"/>
    <mergeCell ref="BVV47:BWL47"/>
    <mergeCell ref="BWM47:BXC47"/>
    <mergeCell ref="BXD47:BXT47"/>
    <mergeCell ref="BRG47:BRW47"/>
    <mergeCell ref="BRX47:BSN47"/>
    <mergeCell ref="BSO47:BTE47"/>
    <mergeCell ref="BTF47:BTV47"/>
    <mergeCell ref="BTW47:BUM47"/>
    <mergeCell ref="BNZ47:BOP47"/>
    <mergeCell ref="BOQ47:BPG47"/>
    <mergeCell ref="BPH47:BPX47"/>
    <mergeCell ref="BPY47:BQO47"/>
    <mergeCell ref="BQP47:BRF47"/>
    <mergeCell ref="BKS47:BLI47"/>
    <mergeCell ref="BLJ47:BLZ47"/>
    <mergeCell ref="BMA47:BMQ47"/>
    <mergeCell ref="BMR47:BNH47"/>
    <mergeCell ref="BNI47:BNY47"/>
    <mergeCell ref="BHL47:BIB47"/>
    <mergeCell ref="BIC47:BIS47"/>
    <mergeCell ref="BIT47:BJJ47"/>
    <mergeCell ref="BJK47:BKA47"/>
    <mergeCell ref="BKB47:BKR47"/>
    <mergeCell ref="BEE47:BEU47"/>
    <mergeCell ref="BEV47:BFL47"/>
    <mergeCell ref="BFM47:BGC47"/>
    <mergeCell ref="BGD47:BGT47"/>
    <mergeCell ref="BGU47:BHK47"/>
    <mergeCell ref="BAX47:BBN47"/>
    <mergeCell ref="BBO47:BCE47"/>
    <mergeCell ref="BCF47:BCV47"/>
    <mergeCell ref="BCW47:BDM47"/>
    <mergeCell ref="BDN47:BED47"/>
    <mergeCell ref="AXQ47:AYG47"/>
    <mergeCell ref="AYH47:AYX47"/>
    <mergeCell ref="AYY47:AZO47"/>
    <mergeCell ref="AZP47:BAF47"/>
    <mergeCell ref="BAG47:BAW47"/>
    <mergeCell ref="AUJ47:AUZ47"/>
    <mergeCell ref="AVA47:AVQ47"/>
    <mergeCell ref="AVR47:AWH47"/>
    <mergeCell ref="AWI47:AWY47"/>
    <mergeCell ref="AWZ47:AXP47"/>
    <mergeCell ref="ARC47:ARS47"/>
    <mergeCell ref="ART47:ASJ47"/>
    <mergeCell ref="ASK47:ATA47"/>
    <mergeCell ref="ATB47:ATR47"/>
    <mergeCell ref="ATS47:AUI47"/>
    <mergeCell ref="ANV47:AOL47"/>
    <mergeCell ref="AOM47:APC47"/>
    <mergeCell ref="APD47:APT47"/>
    <mergeCell ref="APU47:AQK47"/>
    <mergeCell ref="AQL47:ARB47"/>
    <mergeCell ref="AKO47:ALE47"/>
    <mergeCell ref="ALF47:ALV47"/>
    <mergeCell ref="ALW47:AMM47"/>
    <mergeCell ref="AMN47:AND47"/>
    <mergeCell ref="ANE47:ANU47"/>
    <mergeCell ref="AHH47:AHX47"/>
    <mergeCell ref="AHY47:AIO47"/>
    <mergeCell ref="AIP47:AJF47"/>
    <mergeCell ref="AJG47:AJW47"/>
    <mergeCell ref="AJX47:AKN47"/>
    <mergeCell ref="AEA47:AEQ47"/>
    <mergeCell ref="AER47:AFH47"/>
    <mergeCell ref="AFI47:AFY47"/>
    <mergeCell ref="AFZ47:AGP47"/>
    <mergeCell ref="AGQ47:AHG47"/>
    <mergeCell ref="AAT47:ABJ47"/>
    <mergeCell ref="ABK47:ACA47"/>
    <mergeCell ref="ACB47:ACR47"/>
    <mergeCell ref="ACS47:ADI47"/>
    <mergeCell ref="ADJ47:ADZ47"/>
    <mergeCell ref="YD47:YT47"/>
    <mergeCell ref="YU47:ZK47"/>
    <mergeCell ref="ZL47:AAB47"/>
    <mergeCell ref="AAC47:AAS47"/>
    <mergeCell ref="UF47:UV47"/>
    <mergeCell ref="UW47:VM47"/>
    <mergeCell ref="VN47:WD47"/>
    <mergeCell ref="WE47:WU47"/>
    <mergeCell ref="WV47:XL47"/>
    <mergeCell ref="QY47:RO47"/>
    <mergeCell ref="RP47:SF47"/>
    <mergeCell ref="SG47:SW47"/>
    <mergeCell ref="SX47:TN47"/>
    <mergeCell ref="TO47:UE47"/>
    <mergeCell ref="NR47:OH47"/>
    <mergeCell ref="OI47:OY47"/>
    <mergeCell ref="OZ47:PP47"/>
    <mergeCell ref="PQ47:QG47"/>
    <mergeCell ref="QH47:QX47"/>
    <mergeCell ref="KK47:LA47"/>
    <mergeCell ref="LB47:LR47"/>
    <mergeCell ref="LS47:MI47"/>
    <mergeCell ref="MJ47:MZ47"/>
    <mergeCell ref="NA47:NQ47"/>
    <mergeCell ref="HD47:HT47"/>
    <mergeCell ref="HU47:IK47"/>
    <mergeCell ref="IL47:JB47"/>
    <mergeCell ref="JC47:JS47"/>
    <mergeCell ref="JT47:KJ47"/>
    <mergeCell ref="XCZ46:XDP46"/>
    <mergeCell ref="XDQ46:XEC46"/>
    <mergeCell ref="S47:AG47"/>
    <mergeCell ref="AX47:BM47"/>
    <mergeCell ref="BN47:BP47"/>
    <mergeCell ref="BQ47:BU47"/>
    <mergeCell ref="BY47:CN47"/>
    <mergeCell ref="CO47:DE47"/>
    <mergeCell ref="DF47:DV47"/>
    <mergeCell ref="DW47:EM47"/>
    <mergeCell ref="EN47:FD47"/>
    <mergeCell ref="FE47:FU47"/>
    <mergeCell ref="FV47:GL47"/>
    <mergeCell ref="GM47:HC47"/>
    <mergeCell ref="WZS46:XAI46"/>
    <mergeCell ref="XAJ46:XAZ46"/>
    <mergeCell ref="XBA46:XBQ46"/>
    <mergeCell ref="XBR46:XCH46"/>
    <mergeCell ref="XCI46:XCY46"/>
    <mergeCell ref="WWL46:WXB46"/>
    <mergeCell ref="WXC46:WXS46"/>
    <mergeCell ref="XM47:YC47"/>
    <mergeCell ref="WXT46:WYJ46"/>
    <mergeCell ref="WYK46:WZA46"/>
    <mergeCell ref="WZB46:WZR46"/>
    <mergeCell ref="WTE46:WTU46"/>
    <mergeCell ref="WTV46:WUL46"/>
    <mergeCell ref="WUM46:WVC46"/>
    <mergeCell ref="WVD46:WVT46"/>
    <mergeCell ref="WVU46:WWK46"/>
    <mergeCell ref="WPX46:WQN46"/>
    <mergeCell ref="WQO46:WRE46"/>
    <mergeCell ref="WRF46:WRV46"/>
    <mergeCell ref="WRW46:WSM46"/>
    <mergeCell ref="WSN46:WTD46"/>
    <mergeCell ref="WMQ46:WNG46"/>
    <mergeCell ref="WNH46:WNX46"/>
    <mergeCell ref="WNY46:WOO46"/>
    <mergeCell ref="WOP46:WPF46"/>
    <mergeCell ref="WPG46:WPW46"/>
    <mergeCell ref="WJJ46:WJZ46"/>
    <mergeCell ref="WKA46:WKQ46"/>
    <mergeCell ref="WKR46:WLH46"/>
    <mergeCell ref="WLI46:WLY46"/>
    <mergeCell ref="WLZ46:WMP46"/>
    <mergeCell ref="WGC46:WGS46"/>
    <mergeCell ref="WGT46:WHJ46"/>
    <mergeCell ref="WHK46:WIA46"/>
    <mergeCell ref="WIB46:WIR46"/>
    <mergeCell ref="WIS46:WJI46"/>
    <mergeCell ref="WCV46:WDL46"/>
    <mergeCell ref="WDM46:WEC46"/>
    <mergeCell ref="WED46:WET46"/>
    <mergeCell ref="WEU46:WFK46"/>
    <mergeCell ref="WFL46:WGB46"/>
    <mergeCell ref="VZO46:WAE46"/>
    <mergeCell ref="WAF46:WAV46"/>
    <mergeCell ref="WAW46:WBM46"/>
    <mergeCell ref="WBN46:WCD46"/>
    <mergeCell ref="WCE46:WCU46"/>
    <mergeCell ref="VWH46:VWX46"/>
    <mergeCell ref="VWY46:VXO46"/>
    <mergeCell ref="VXP46:VYF46"/>
    <mergeCell ref="VYG46:VYW46"/>
    <mergeCell ref="VYX46:VZN46"/>
    <mergeCell ref="VTA46:VTQ46"/>
    <mergeCell ref="VTR46:VUH46"/>
    <mergeCell ref="VUI46:VUY46"/>
    <mergeCell ref="VUZ46:VVP46"/>
    <mergeCell ref="VVQ46:VWG46"/>
    <mergeCell ref="VPT46:VQJ46"/>
    <mergeCell ref="VQK46:VRA46"/>
    <mergeCell ref="VRB46:VRR46"/>
    <mergeCell ref="VRS46:VSI46"/>
    <mergeCell ref="VSJ46:VSZ46"/>
    <mergeCell ref="VMM46:VNC46"/>
    <mergeCell ref="VND46:VNT46"/>
    <mergeCell ref="VNU46:VOK46"/>
    <mergeCell ref="VOL46:VPB46"/>
    <mergeCell ref="VPC46:VPS46"/>
    <mergeCell ref="VJF46:VJV46"/>
    <mergeCell ref="VJW46:VKM46"/>
    <mergeCell ref="VKN46:VLD46"/>
    <mergeCell ref="VLE46:VLU46"/>
    <mergeCell ref="VLV46:VML46"/>
    <mergeCell ref="VFY46:VGO46"/>
    <mergeCell ref="VGP46:VHF46"/>
    <mergeCell ref="VHG46:VHW46"/>
    <mergeCell ref="VHX46:VIN46"/>
    <mergeCell ref="VIO46:VJE46"/>
    <mergeCell ref="VCR46:VDH46"/>
    <mergeCell ref="VDI46:VDY46"/>
    <mergeCell ref="VDZ46:VEP46"/>
    <mergeCell ref="VEQ46:VFG46"/>
    <mergeCell ref="VFH46:VFX46"/>
    <mergeCell ref="UZK46:VAA46"/>
    <mergeCell ref="VAB46:VAR46"/>
    <mergeCell ref="VAS46:VBI46"/>
    <mergeCell ref="VBJ46:VBZ46"/>
    <mergeCell ref="VCA46:VCQ46"/>
    <mergeCell ref="UWD46:UWT46"/>
    <mergeCell ref="UWU46:UXK46"/>
    <mergeCell ref="UXL46:UYB46"/>
    <mergeCell ref="UYC46:UYS46"/>
    <mergeCell ref="UYT46:UZJ46"/>
    <mergeCell ref="USW46:UTM46"/>
    <mergeCell ref="UTN46:UUD46"/>
    <mergeCell ref="UUE46:UUU46"/>
    <mergeCell ref="UUV46:UVL46"/>
    <mergeCell ref="UVM46:UWC46"/>
    <mergeCell ref="UPP46:UQF46"/>
    <mergeCell ref="UQG46:UQW46"/>
    <mergeCell ref="UQX46:URN46"/>
    <mergeCell ref="URO46:USE46"/>
    <mergeCell ref="USF46:USV46"/>
    <mergeCell ref="UMI46:UMY46"/>
    <mergeCell ref="UMZ46:UNP46"/>
    <mergeCell ref="UNQ46:UOG46"/>
    <mergeCell ref="UOH46:UOX46"/>
    <mergeCell ref="UOY46:UPO46"/>
    <mergeCell ref="UJB46:UJR46"/>
    <mergeCell ref="UJS46:UKI46"/>
    <mergeCell ref="UKJ46:UKZ46"/>
    <mergeCell ref="ULA46:ULQ46"/>
    <mergeCell ref="ULR46:UMH46"/>
    <mergeCell ref="UFU46:UGK46"/>
    <mergeCell ref="UGL46:UHB46"/>
    <mergeCell ref="UHC46:UHS46"/>
    <mergeCell ref="UHT46:UIJ46"/>
    <mergeCell ref="UIK46:UJA46"/>
    <mergeCell ref="UCN46:UDD46"/>
    <mergeCell ref="UDE46:UDU46"/>
    <mergeCell ref="UDV46:UEL46"/>
    <mergeCell ref="UEM46:UFC46"/>
    <mergeCell ref="UFD46:UFT46"/>
    <mergeCell ref="TZG46:TZW46"/>
    <mergeCell ref="TZX46:UAN46"/>
    <mergeCell ref="UAO46:UBE46"/>
    <mergeCell ref="UBF46:UBV46"/>
    <mergeCell ref="UBW46:UCM46"/>
    <mergeCell ref="TVZ46:TWP46"/>
    <mergeCell ref="TWQ46:TXG46"/>
    <mergeCell ref="TXH46:TXX46"/>
    <mergeCell ref="TXY46:TYO46"/>
    <mergeCell ref="TYP46:TZF46"/>
    <mergeCell ref="TSS46:TTI46"/>
    <mergeCell ref="TTJ46:TTZ46"/>
    <mergeCell ref="TUA46:TUQ46"/>
    <mergeCell ref="TUR46:TVH46"/>
    <mergeCell ref="TVI46:TVY46"/>
    <mergeCell ref="TPL46:TQB46"/>
    <mergeCell ref="TQC46:TQS46"/>
    <mergeCell ref="TQT46:TRJ46"/>
    <mergeCell ref="TRK46:TSA46"/>
    <mergeCell ref="TSB46:TSR46"/>
    <mergeCell ref="TME46:TMU46"/>
    <mergeCell ref="TMV46:TNL46"/>
    <mergeCell ref="TNM46:TOC46"/>
    <mergeCell ref="TOD46:TOT46"/>
    <mergeCell ref="TOU46:TPK46"/>
    <mergeCell ref="TIX46:TJN46"/>
    <mergeCell ref="TJO46:TKE46"/>
    <mergeCell ref="TKF46:TKV46"/>
    <mergeCell ref="TKW46:TLM46"/>
    <mergeCell ref="TLN46:TMD46"/>
    <mergeCell ref="TFQ46:TGG46"/>
    <mergeCell ref="TGH46:TGX46"/>
    <mergeCell ref="TGY46:THO46"/>
    <mergeCell ref="THP46:TIF46"/>
    <mergeCell ref="TIG46:TIW46"/>
    <mergeCell ref="TCJ46:TCZ46"/>
    <mergeCell ref="TDA46:TDQ46"/>
    <mergeCell ref="TDR46:TEH46"/>
    <mergeCell ref="TEI46:TEY46"/>
    <mergeCell ref="TEZ46:TFP46"/>
    <mergeCell ref="SZC46:SZS46"/>
    <mergeCell ref="SZT46:TAJ46"/>
    <mergeCell ref="TAK46:TBA46"/>
    <mergeCell ref="TBB46:TBR46"/>
    <mergeCell ref="TBS46:TCI46"/>
    <mergeCell ref="SVV46:SWL46"/>
    <mergeCell ref="SWM46:SXC46"/>
    <mergeCell ref="SXD46:SXT46"/>
    <mergeCell ref="SXU46:SYK46"/>
    <mergeCell ref="SYL46:SZB46"/>
    <mergeCell ref="SSO46:STE46"/>
    <mergeCell ref="STF46:STV46"/>
    <mergeCell ref="STW46:SUM46"/>
    <mergeCell ref="SUN46:SVD46"/>
    <mergeCell ref="SVE46:SVU46"/>
    <mergeCell ref="SPH46:SPX46"/>
    <mergeCell ref="SPY46:SQO46"/>
    <mergeCell ref="SQP46:SRF46"/>
    <mergeCell ref="SRG46:SRW46"/>
    <mergeCell ref="SRX46:SSN46"/>
    <mergeCell ref="SMA46:SMQ46"/>
    <mergeCell ref="SMR46:SNH46"/>
    <mergeCell ref="SNI46:SNY46"/>
    <mergeCell ref="SNZ46:SOP46"/>
    <mergeCell ref="SOQ46:SPG46"/>
    <mergeCell ref="SIT46:SJJ46"/>
    <mergeCell ref="SJK46:SKA46"/>
    <mergeCell ref="SKB46:SKR46"/>
    <mergeCell ref="SKS46:SLI46"/>
    <mergeCell ref="SLJ46:SLZ46"/>
    <mergeCell ref="SFM46:SGC46"/>
    <mergeCell ref="SGD46:SGT46"/>
    <mergeCell ref="SGU46:SHK46"/>
    <mergeCell ref="SHL46:SIB46"/>
    <mergeCell ref="SIC46:SIS46"/>
    <mergeCell ref="SCF46:SCV46"/>
    <mergeCell ref="SCW46:SDM46"/>
    <mergeCell ref="SDN46:SED46"/>
    <mergeCell ref="SEE46:SEU46"/>
    <mergeCell ref="SEV46:SFL46"/>
    <mergeCell ref="RYY46:RZO46"/>
    <mergeCell ref="RZP46:SAF46"/>
    <mergeCell ref="SAG46:SAW46"/>
    <mergeCell ref="SAX46:SBN46"/>
    <mergeCell ref="SBO46:SCE46"/>
    <mergeCell ref="RVR46:RWH46"/>
    <mergeCell ref="RWI46:RWY46"/>
    <mergeCell ref="RWZ46:RXP46"/>
    <mergeCell ref="RXQ46:RYG46"/>
    <mergeCell ref="RYH46:RYX46"/>
    <mergeCell ref="RSK46:RTA46"/>
    <mergeCell ref="RTB46:RTR46"/>
    <mergeCell ref="RTS46:RUI46"/>
    <mergeCell ref="RUJ46:RUZ46"/>
    <mergeCell ref="RVA46:RVQ46"/>
    <mergeCell ref="RPD46:RPT46"/>
    <mergeCell ref="RPU46:RQK46"/>
    <mergeCell ref="RQL46:RRB46"/>
    <mergeCell ref="RRC46:RRS46"/>
    <mergeCell ref="RRT46:RSJ46"/>
    <mergeCell ref="RLW46:RMM46"/>
    <mergeCell ref="RMN46:RND46"/>
    <mergeCell ref="RNE46:RNU46"/>
    <mergeCell ref="RNV46:ROL46"/>
    <mergeCell ref="ROM46:RPC46"/>
    <mergeCell ref="RIP46:RJF46"/>
    <mergeCell ref="RJG46:RJW46"/>
    <mergeCell ref="RJX46:RKN46"/>
    <mergeCell ref="RKO46:RLE46"/>
    <mergeCell ref="RLF46:RLV46"/>
    <mergeCell ref="RFI46:RFY46"/>
    <mergeCell ref="RFZ46:RGP46"/>
    <mergeCell ref="RGQ46:RHG46"/>
    <mergeCell ref="RHH46:RHX46"/>
    <mergeCell ref="RHY46:RIO46"/>
    <mergeCell ref="RCB46:RCR46"/>
    <mergeCell ref="RCS46:RDI46"/>
    <mergeCell ref="RDJ46:RDZ46"/>
    <mergeCell ref="REA46:REQ46"/>
    <mergeCell ref="RER46:RFH46"/>
    <mergeCell ref="QYU46:QZK46"/>
    <mergeCell ref="QZL46:RAB46"/>
    <mergeCell ref="RAC46:RAS46"/>
    <mergeCell ref="RAT46:RBJ46"/>
    <mergeCell ref="RBK46:RCA46"/>
    <mergeCell ref="QVN46:QWD46"/>
    <mergeCell ref="QWE46:QWU46"/>
    <mergeCell ref="QWV46:QXL46"/>
    <mergeCell ref="QXM46:QYC46"/>
    <mergeCell ref="QYD46:QYT46"/>
    <mergeCell ref="QSG46:QSW46"/>
    <mergeCell ref="QSX46:QTN46"/>
    <mergeCell ref="QTO46:QUE46"/>
    <mergeCell ref="QUF46:QUV46"/>
    <mergeCell ref="QUW46:QVM46"/>
    <mergeCell ref="QOZ46:QPP46"/>
    <mergeCell ref="QPQ46:QQG46"/>
    <mergeCell ref="QQH46:QQX46"/>
    <mergeCell ref="QQY46:QRO46"/>
    <mergeCell ref="QRP46:QSF46"/>
    <mergeCell ref="QLS46:QMI46"/>
    <mergeCell ref="QMJ46:QMZ46"/>
    <mergeCell ref="QNA46:QNQ46"/>
    <mergeCell ref="QNR46:QOH46"/>
    <mergeCell ref="QOI46:QOY46"/>
    <mergeCell ref="QIL46:QJB46"/>
    <mergeCell ref="QJC46:QJS46"/>
    <mergeCell ref="QJT46:QKJ46"/>
    <mergeCell ref="QKK46:QLA46"/>
    <mergeCell ref="QLB46:QLR46"/>
    <mergeCell ref="QFE46:QFU46"/>
    <mergeCell ref="QFV46:QGL46"/>
    <mergeCell ref="QGM46:QHC46"/>
    <mergeCell ref="QHD46:QHT46"/>
    <mergeCell ref="QHU46:QIK46"/>
    <mergeCell ref="QBX46:QCN46"/>
    <mergeCell ref="QCO46:QDE46"/>
    <mergeCell ref="QDF46:QDV46"/>
    <mergeCell ref="QDW46:QEM46"/>
    <mergeCell ref="QEN46:QFD46"/>
    <mergeCell ref="PYQ46:PZG46"/>
    <mergeCell ref="PZH46:PZX46"/>
    <mergeCell ref="PZY46:QAO46"/>
    <mergeCell ref="QAP46:QBF46"/>
    <mergeCell ref="QBG46:QBW46"/>
    <mergeCell ref="PVJ46:PVZ46"/>
    <mergeCell ref="PWA46:PWQ46"/>
    <mergeCell ref="PWR46:PXH46"/>
    <mergeCell ref="PXI46:PXY46"/>
    <mergeCell ref="PXZ46:PYP46"/>
    <mergeCell ref="PSC46:PSS46"/>
    <mergeCell ref="PST46:PTJ46"/>
    <mergeCell ref="PTK46:PUA46"/>
    <mergeCell ref="PUB46:PUR46"/>
    <mergeCell ref="PUS46:PVI46"/>
    <mergeCell ref="POV46:PPL46"/>
    <mergeCell ref="PPM46:PQC46"/>
    <mergeCell ref="PQD46:PQT46"/>
    <mergeCell ref="PQU46:PRK46"/>
    <mergeCell ref="PRL46:PSB46"/>
    <mergeCell ref="PLO46:PME46"/>
    <mergeCell ref="PMF46:PMV46"/>
    <mergeCell ref="PMW46:PNM46"/>
    <mergeCell ref="PNN46:POD46"/>
    <mergeCell ref="POE46:POU46"/>
    <mergeCell ref="PIH46:PIX46"/>
    <mergeCell ref="PIY46:PJO46"/>
    <mergeCell ref="PJP46:PKF46"/>
    <mergeCell ref="PKG46:PKW46"/>
    <mergeCell ref="PKX46:PLN46"/>
    <mergeCell ref="PFA46:PFQ46"/>
    <mergeCell ref="PFR46:PGH46"/>
    <mergeCell ref="PGI46:PGY46"/>
    <mergeCell ref="PGZ46:PHP46"/>
    <mergeCell ref="PHQ46:PIG46"/>
    <mergeCell ref="PBT46:PCJ46"/>
    <mergeCell ref="PCK46:PDA46"/>
    <mergeCell ref="PDB46:PDR46"/>
    <mergeCell ref="PDS46:PEI46"/>
    <mergeCell ref="PEJ46:PEZ46"/>
    <mergeCell ref="OYM46:OZC46"/>
    <mergeCell ref="OZD46:OZT46"/>
    <mergeCell ref="OZU46:PAK46"/>
    <mergeCell ref="PAL46:PBB46"/>
    <mergeCell ref="PBC46:PBS46"/>
    <mergeCell ref="OVF46:OVV46"/>
    <mergeCell ref="OVW46:OWM46"/>
    <mergeCell ref="OWN46:OXD46"/>
    <mergeCell ref="OXE46:OXU46"/>
    <mergeCell ref="OXV46:OYL46"/>
    <mergeCell ref="ORY46:OSO46"/>
    <mergeCell ref="OSP46:OTF46"/>
    <mergeCell ref="OTG46:OTW46"/>
    <mergeCell ref="OTX46:OUN46"/>
    <mergeCell ref="OUO46:OVE46"/>
    <mergeCell ref="OOR46:OPH46"/>
    <mergeCell ref="OPI46:OPY46"/>
    <mergeCell ref="OPZ46:OQP46"/>
    <mergeCell ref="OQQ46:ORG46"/>
    <mergeCell ref="ORH46:ORX46"/>
    <mergeCell ref="OLK46:OMA46"/>
    <mergeCell ref="OMB46:OMR46"/>
    <mergeCell ref="OMS46:ONI46"/>
    <mergeCell ref="ONJ46:ONZ46"/>
    <mergeCell ref="OOA46:OOQ46"/>
    <mergeCell ref="OID46:OIT46"/>
    <mergeCell ref="OIU46:OJK46"/>
    <mergeCell ref="OJL46:OKB46"/>
    <mergeCell ref="OKC46:OKS46"/>
    <mergeCell ref="OKT46:OLJ46"/>
    <mergeCell ref="OEW46:OFM46"/>
    <mergeCell ref="OFN46:OGD46"/>
    <mergeCell ref="OGE46:OGU46"/>
    <mergeCell ref="OGV46:OHL46"/>
    <mergeCell ref="OHM46:OIC46"/>
    <mergeCell ref="OBP46:OCF46"/>
    <mergeCell ref="OCG46:OCW46"/>
    <mergeCell ref="OCX46:ODN46"/>
    <mergeCell ref="ODO46:OEE46"/>
    <mergeCell ref="OEF46:OEV46"/>
    <mergeCell ref="NYI46:NYY46"/>
    <mergeCell ref="NYZ46:NZP46"/>
    <mergeCell ref="NZQ46:OAG46"/>
    <mergeCell ref="OAH46:OAX46"/>
    <mergeCell ref="OAY46:OBO46"/>
    <mergeCell ref="NVB46:NVR46"/>
    <mergeCell ref="NVS46:NWI46"/>
    <mergeCell ref="NWJ46:NWZ46"/>
    <mergeCell ref="NXA46:NXQ46"/>
    <mergeCell ref="NXR46:NYH46"/>
    <mergeCell ref="NRU46:NSK46"/>
    <mergeCell ref="NSL46:NTB46"/>
    <mergeCell ref="NTC46:NTS46"/>
    <mergeCell ref="NTT46:NUJ46"/>
    <mergeCell ref="NUK46:NVA46"/>
    <mergeCell ref="NON46:NPD46"/>
    <mergeCell ref="NPE46:NPU46"/>
    <mergeCell ref="NPV46:NQL46"/>
    <mergeCell ref="NQM46:NRC46"/>
    <mergeCell ref="NRD46:NRT46"/>
    <mergeCell ref="NLG46:NLW46"/>
    <mergeCell ref="NLX46:NMN46"/>
    <mergeCell ref="NMO46:NNE46"/>
    <mergeCell ref="NNF46:NNV46"/>
    <mergeCell ref="NNW46:NOM46"/>
    <mergeCell ref="NHZ46:NIP46"/>
    <mergeCell ref="NIQ46:NJG46"/>
    <mergeCell ref="NJH46:NJX46"/>
    <mergeCell ref="NJY46:NKO46"/>
    <mergeCell ref="NKP46:NLF46"/>
    <mergeCell ref="NES46:NFI46"/>
    <mergeCell ref="NFJ46:NFZ46"/>
    <mergeCell ref="NGA46:NGQ46"/>
    <mergeCell ref="NGR46:NHH46"/>
    <mergeCell ref="NHI46:NHY46"/>
    <mergeCell ref="NBL46:NCB46"/>
    <mergeCell ref="NCC46:NCS46"/>
    <mergeCell ref="NCT46:NDJ46"/>
    <mergeCell ref="NDK46:NEA46"/>
    <mergeCell ref="NEB46:NER46"/>
    <mergeCell ref="MYE46:MYU46"/>
    <mergeCell ref="MYV46:MZL46"/>
    <mergeCell ref="MZM46:NAC46"/>
    <mergeCell ref="NAD46:NAT46"/>
    <mergeCell ref="NAU46:NBK46"/>
    <mergeCell ref="MUX46:MVN46"/>
    <mergeCell ref="MVO46:MWE46"/>
    <mergeCell ref="MWF46:MWV46"/>
    <mergeCell ref="MWW46:MXM46"/>
    <mergeCell ref="MXN46:MYD46"/>
    <mergeCell ref="MRQ46:MSG46"/>
    <mergeCell ref="MSH46:MSX46"/>
    <mergeCell ref="MSY46:MTO46"/>
    <mergeCell ref="MTP46:MUF46"/>
    <mergeCell ref="MUG46:MUW46"/>
    <mergeCell ref="MOJ46:MOZ46"/>
    <mergeCell ref="MPA46:MPQ46"/>
    <mergeCell ref="MPR46:MQH46"/>
    <mergeCell ref="MQI46:MQY46"/>
    <mergeCell ref="MQZ46:MRP46"/>
    <mergeCell ref="MLC46:MLS46"/>
    <mergeCell ref="MLT46:MMJ46"/>
    <mergeCell ref="MMK46:MNA46"/>
    <mergeCell ref="MNB46:MNR46"/>
    <mergeCell ref="MNS46:MOI46"/>
    <mergeCell ref="MHV46:MIL46"/>
    <mergeCell ref="MIM46:MJC46"/>
    <mergeCell ref="MJD46:MJT46"/>
    <mergeCell ref="MJU46:MKK46"/>
    <mergeCell ref="MKL46:MLB46"/>
    <mergeCell ref="MEO46:MFE46"/>
    <mergeCell ref="MFF46:MFV46"/>
    <mergeCell ref="MFW46:MGM46"/>
    <mergeCell ref="MGN46:MHD46"/>
    <mergeCell ref="MHE46:MHU46"/>
    <mergeCell ref="MBH46:MBX46"/>
    <mergeCell ref="MBY46:MCO46"/>
    <mergeCell ref="MCP46:MDF46"/>
    <mergeCell ref="MDG46:MDW46"/>
    <mergeCell ref="MDX46:MEN46"/>
    <mergeCell ref="LYA46:LYQ46"/>
    <mergeCell ref="LYR46:LZH46"/>
    <mergeCell ref="LZI46:LZY46"/>
    <mergeCell ref="LZZ46:MAP46"/>
    <mergeCell ref="MAQ46:MBG46"/>
    <mergeCell ref="LUT46:LVJ46"/>
    <mergeCell ref="LVK46:LWA46"/>
    <mergeCell ref="LWB46:LWR46"/>
    <mergeCell ref="LWS46:LXI46"/>
    <mergeCell ref="LXJ46:LXZ46"/>
    <mergeCell ref="LRM46:LSC46"/>
    <mergeCell ref="LSD46:LST46"/>
    <mergeCell ref="LSU46:LTK46"/>
    <mergeCell ref="LTL46:LUB46"/>
    <mergeCell ref="LUC46:LUS46"/>
    <mergeCell ref="LOF46:LOV46"/>
    <mergeCell ref="LOW46:LPM46"/>
    <mergeCell ref="LPN46:LQD46"/>
    <mergeCell ref="LQE46:LQU46"/>
    <mergeCell ref="LQV46:LRL46"/>
    <mergeCell ref="LKY46:LLO46"/>
    <mergeCell ref="LLP46:LMF46"/>
    <mergeCell ref="LMG46:LMW46"/>
    <mergeCell ref="LMX46:LNN46"/>
    <mergeCell ref="LNO46:LOE46"/>
    <mergeCell ref="LHR46:LIH46"/>
    <mergeCell ref="LII46:LIY46"/>
    <mergeCell ref="LIZ46:LJP46"/>
    <mergeCell ref="LJQ46:LKG46"/>
    <mergeCell ref="LKH46:LKX46"/>
    <mergeCell ref="LEK46:LFA46"/>
    <mergeCell ref="LFB46:LFR46"/>
    <mergeCell ref="LFS46:LGI46"/>
    <mergeCell ref="LGJ46:LGZ46"/>
    <mergeCell ref="LHA46:LHQ46"/>
    <mergeCell ref="LBD46:LBT46"/>
    <mergeCell ref="LBU46:LCK46"/>
    <mergeCell ref="LCL46:LDB46"/>
    <mergeCell ref="LDC46:LDS46"/>
    <mergeCell ref="LDT46:LEJ46"/>
    <mergeCell ref="KXW46:KYM46"/>
    <mergeCell ref="KYN46:KZD46"/>
    <mergeCell ref="KZE46:KZU46"/>
    <mergeCell ref="KZV46:LAL46"/>
    <mergeCell ref="LAM46:LBC46"/>
    <mergeCell ref="KUP46:KVF46"/>
    <mergeCell ref="KVG46:KVW46"/>
    <mergeCell ref="KVX46:KWN46"/>
    <mergeCell ref="KWO46:KXE46"/>
    <mergeCell ref="KXF46:KXV46"/>
    <mergeCell ref="KRI46:KRY46"/>
    <mergeCell ref="KRZ46:KSP46"/>
    <mergeCell ref="KSQ46:KTG46"/>
    <mergeCell ref="KTH46:KTX46"/>
    <mergeCell ref="KTY46:KUO46"/>
    <mergeCell ref="KOB46:KOR46"/>
    <mergeCell ref="KOS46:KPI46"/>
    <mergeCell ref="KPJ46:KPZ46"/>
    <mergeCell ref="KQA46:KQQ46"/>
    <mergeCell ref="KQR46:KRH46"/>
    <mergeCell ref="KKU46:KLK46"/>
    <mergeCell ref="KLL46:KMB46"/>
    <mergeCell ref="KMC46:KMS46"/>
    <mergeCell ref="KMT46:KNJ46"/>
    <mergeCell ref="KNK46:KOA46"/>
    <mergeCell ref="KHN46:KID46"/>
    <mergeCell ref="KIE46:KIU46"/>
    <mergeCell ref="KIV46:KJL46"/>
    <mergeCell ref="KJM46:KKC46"/>
    <mergeCell ref="KKD46:KKT46"/>
    <mergeCell ref="KEG46:KEW46"/>
    <mergeCell ref="KEX46:KFN46"/>
    <mergeCell ref="KFO46:KGE46"/>
    <mergeCell ref="KGF46:KGV46"/>
    <mergeCell ref="KGW46:KHM46"/>
    <mergeCell ref="KAZ46:KBP46"/>
    <mergeCell ref="KBQ46:KCG46"/>
    <mergeCell ref="KCH46:KCX46"/>
    <mergeCell ref="KCY46:KDO46"/>
    <mergeCell ref="KDP46:KEF46"/>
    <mergeCell ref="JXS46:JYI46"/>
    <mergeCell ref="JYJ46:JYZ46"/>
    <mergeCell ref="JZA46:JZQ46"/>
    <mergeCell ref="JZR46:KAH46"/>
    <mergeCell ref="KAI46:KAY46"/>
    <mergeCell ref="JUL46:JVB46"/>
    <mergeCell ref="JVC46:JVS46"/>
    <mergeCell ref="JVT46:JWJ46"/>
    <mergeCell ref="JWK46:JXA46"/>
    <mergeCell ref="JXB46:JXR46"/>
    <mergeCell ref="JRE46:JRU46"/>
    <mergeCell ref="JRV46:JSL46"/>
    <mergeCell ref="JSM46:JTC46"/>
    <mergeCell ref="JTD46:JTT46"/>
    <mergeCell ref="JTU46:JUK46"/>
    <mergeCell ref="JNX46:JON46"/>
    <mergeCell ref="JOO46:JPE46"/>
    <mergeCell ref="JPF46:JPV46"/>
    <mergeCell ref="JPW46:JQM46"/>
    <mergeCell ref="JQN46:JRD46"/>
    <mergeCell ref="JKQ46:JLG46"/>
    <mergeCell ref="JLH46:JLX46"/>
    <mergeCell ref="JLY46:JMO46"/>
    <mergeCell ref="JMP46:JNF46"/>
    <mergeCell ref="JNG46:JNW46"/>
    <mergeCell ref="JHJ46:JHZ46"/>
    <mergeCell ref="JIA46:JIQ46"/>
    <mergeCell ref="JIR46:JJH46"/>
    <mergeCell ref="JJI46:JJY46"/>
    <mergeCell ref="JJZ46:JKP46"/>
    <mergeCell ref="JEC46:JES46"/>
    <mergeCell ref="JET46:JFJ46"/>
    <mergeCell ref="JFK46:JGA46"/>
    <mergeCell ref="JGB46:JGR46"/>
    <mergeCell ref="JGS46:JHI46"/>
    <mergeCell ref="JAV46:JBL46"/>
    <mergeCell ref="JBM46:JCC46"/>
    <mergeCell ref="JCD46:JCT46"/>
    <mergeCell ref="JCU46:JDK46"/>
    <mergeCell ref="JDL46:JEB46"/>
    <mergeCell ref="IXO46:IYE46"/>
    <mergeCell ref="IYF46:IYV46"/>
    <mergeCell ref="IYW46:IZM46"/>
    <mergeCell ref="IZN46:JAD46"/>
    <mergeCell ref="JAE46:JAU46"/>
    <mergeCell ref="IUH46:IUX46"/>
    <mergeCell ref="IUY46:IVO46"/>
    <mergeCell ref="IVP46:IWF46"/>
    <mergeCell ref="IWG46:IWW46"/>
    <mergeCell ref="IWX46:IXN46"/>
    <mergeCell ref="IRA46:IRQ46"/>
    <mergeCell ref="IRR46:ISH46"/>
    <mergeCell ref="ISI46:ISY46"/>
    <mergeCell ref="ISZ46:ITP46"/>
    <mergeCell ref="ITQ46:IUG46"/>
    <mergeCell ref="INT46:IOJ46"/>
    <mergeCell ref="IOK46:IPA46"/>
    <mergeCell ref="IPB46:IPR46"/>
    <mergeCell ref="IPS46:IQI46"/>
    <mergeCell ref="IQJ46:IQZ46"/>
    <mergeCell ref="IKM46:ILC46"/>
    <mergeCell ref="ILD46:ILT46"/>
    <mergeCell ref="ILU46:IMK46"/>
    <mergeCell ref="IML46:INB46"/>
    <mergeCell ref="INC46:INS46"/>
    <mergeCell ref="IHF46:IHV46"/>
    <mergeCell ref="IHW46:IIM46"/>
    <mergeCell ref="IIN46:IJD46"/>
    <mergeCell ref="IJE46:IJU46"/>
    <mergeCell ref="IJV46:IKL46"/>
    <mergeCell ref="IDY46:IEO46"/>
    <mergeCell ref="IEP46:IFF46"/>
    <mergeCell ref="IFG46:IFW46"/>
    <mergeCell ref="IFX46:IGN46"/>
    <mergeCell ref="IGO46:IHE46"/>
    <mergeCell ref="IAR46:IBH46"/>
    <mergeCell ref="IBI46:IBY46"/>
    <mergeCell ref="IBZ46:ICP46"/>
    <mergeCell ref="ICQ46:IDG46"/>
    <mergeCell ref="IDH46:IDX46"/>
    <mergeCell ref="HXK46:HYA46"/>
    <mergeCell ref="HYB46:HYR46"/>
    <mergeCell ref="HYS46:HZI46"/>
    <mergeCell ref="HZJ46:HZZ46"/>
    <mergeCell ref="IAA46:IAQ46"/>
    <mergeCell ref="HUD46:HUT46"/>
    <mergeCell ref="HUU46:HVK46"/>
    <mergeCell ref="HVL46:HWB46"/>
    <mergeCell ref="HWC46:HWS46"/>
    <mergeCell ref="HWT46:HXJ46"/>
    <mergeCell ref="HQW46:HRM46"/>
    <mergeCell ref="HRN46:HSD46"/>
    <mergeCell ref="HSE46:HSU46"/>
    <mergeCell ref="HSV46:HTL46"/>
    <mergeCell ref="HTM46:HUC46"/>
    <mergeCell ref="HNP46:HOF46"/>
    <mergeCell ref="HOG46:HOW46"/>
    <mergeCell ref="HOX46:HPN46"/>
    <mergeCell ref="HPO46:HQE46"/>
    <mergeCell ref="HQF46:HQV46"/>
    <mergeCell ref="HKI46:HKY46"/>
    <mergeCell ref="HKZ46:HLP46"/>
    <mergeCell ref="HLQ46:HMG46"/>
    <mergeCell ref="HMH46:HMX46"/>
    <mergeCell ref="HMY46:HNO46"/>
    <mergeCell ref="HHB46:HHR46"/>
    <mergeCell ref="HHS46:HII46"/>
    <mergeCell ref="HIJ46:HIZ46"/>
    <mergeCell ref="HJA46:HJQ46"/>
    <mergeCell ref="HJR46:HKH46"/>
    <mergeCell ref="HDU46:HEK46"/>
    <mergeCell ref="HEL46:HFB46"/>
    <mergeCell ref="HFC46:HFS46"/>
    <mergeCell ref="HFT46:HGJ46"/>
    <mergeCell ref="HGK46:HHA46"/>
    <mergeCell ref="HAN46:HBD46"/>
    <mergeCell ref="HBE46:HBU46"/>
    <mergeCell ref="HBV46:HCL46"/>
    <mergeCell ref="HCM46:HDC46"/>
    <mergeCell ref="HDD46:HDT46"/>
    <mergeCell ref="GXG46:GXW46"/>
    <mergeCell ref="GXX46:GYN46"/>
    <mergeCell ref="GYO46:GZE46"/>
    <mergeCell ref="GZF46:GZV46"/>
    <mergeCell ref="GZW46:HAM46"/>
    <mergeCell ref="GTZ46:GUP46"/>
    <mergeCell ref="GUQ46:GVG46"/>
    <mergeCell ref="GVH46:GVX46"/>
    <mergeCell ref="GVY46:GWO46"/>
    <mergeCell ref="GWP46:GXF46"/>
    <mergeCell ref="GQS46:GRI46"/>
    <mergeCell ref="GRJ46:GRZ46"/>
    <mergeCell ref="GSA46:GSQ46"/>
    <mergeCell ref="GSR46:GTH46"/>
    <mergeCell ref="GTI46:GTY46"/>
    <mergeCell ref="GNL46:GOB46"/>
    <mergeCell ref="GOC46:GOS46"/>
    <mergeCell ref="GOT46:GPJ46"/>
    <mergeCell ref="GPK46:GQA46"/>
    <mergeCell ref="GQB46:GQR46"/>
    <mergeCell ref="GKE46:GKU46"/>
    <mergeCell ref="GKV46:GLL46"/>
    <mergeCell ref="GLM46:GMC46"/>
    <mergeCell ref="GMD46:GMT46"/>
    <mergeCell ref="GMU46:GNK46"/>
    <mergeCell ref="GGX46:GHN46"/>
    <mergeCell ref="GHO46:GIE46"/>
    <mergeCell ref="GIF46:GIV46"/>
    <mergeCell ref="GIW46:GJM46"/>
    <mergeCell ref="GJN46:GKD46"/>
    <mergeCell ref="GDQ46:GEG46"/>
    <mergeCell ref="GEH46:GEX46"/>
    <mergeCell ref="GEY46:GFO46"/>
    <mergeCell ref="GFP46:GGF46"/>
    <mergeCell ref="GGG46:GGW46"/>
    <mergeCell ref="GAJ46:GAZ46"/>
    <mergeCell ref="GBA46:GBQ46"/>
    <mergeCell ref="GBR46:GCH46"/>
    <mergeCell ref="GCI46:GCY46"/>
    <mergeCell ref="GCZ46:GDP46"/>
    <mergeCell ref="FXC46:FXS46"/>
    <mergeCell ref="FXT46:FYJ46"/>
    <mergeCell ref="FYK46:FZA46"/>
    <mergeCell ref="FZB46:FZR46"/>
    <mergeCell ref="FZS46:GAI46"/>
    <mergeCell ref="FTV46:FUL46"/>
    <mergeCell ref="FUM46:FVC46"/>
    <mergeCell ref="FVD46:FVT46"/>
    <mergeCell ref="FVU46:FWK46"/>
    <mergeCell ref="FWL46:FXB46"/>
    <mergeCell ref="FQO46:FRE46"/>
    <mergeCell ref="FRF46:FRV46"/>
    <mergeCell ref="FRW46:FSM46"/>
    <mergeCell ref="FSN46:FTD46"/>
    <mergeCell ref="FTE46:FTU46"/>
    <mergeCell ref="FNH46:FNX46"/>
    <mergeCell ref="FNY46:FOO46"/>
    <mergeCell ref="FOP46:FPF46"/>
    <mergeCell ref="FPG46:FPW46"/>
    <mergeCell ref="FPX46:FQN46"/>
    <mergeCell ref="FKA46:FKQ46"/>
    <mergeCell ref="FKR46:FLH46"/>
    <mergeCell ref="FLI46:FLY46"/>
    <mergeCell ref="FLZ46:FMP46"/>
    <mergeCell ref="FMQ46:FNG46"/>
    <mergeCell ref="FGT46:FHJ46"/>
    <mergeCell ref="FHK46:FIA46"/>
    <mergeCell ref="FIB46:FIR46"/>
    <mergeCell ref="FIS46:FJI46"/>
    <mergeCell ref="FJJ46:FJZ46"/>
    <mergeCell ref="FDM46:FEC46"/>
    <mergeCell ref="FED46:FET46"/>
    <mergeCell ref="FEU46:FFK46"/>
    <mergeCell ref="FFL46:FGB46"/>
    <mergeCell ref="FGC46:FGS46"/>
    <mergeCell ref="FAF46:FAV46"/>
    <mergeCell ref="FAW46:FBM46"/>
    <mergeCell ref="FBN46:FCD46"/>
    <mergeCell ref="FCE46:FCU46"/>
    <mergeCell ref="FCV46:FDL46"/>
    <mergeCell ref="EWY46:EXO46"/>
    <mergeCell ref="EXP46:EYF46"/>
    <mergeCell ref="EYG46:EYW46"/>
    <mergeCell ref="EYX46:EZN46"/>
    <mergeCell ref="EZO46:FAE46"/>
    <mergeCell ref="ETR46:EUH46"/>
    <mergeCell ref="EUI46:EUY46"/>
    <mergeCell ref="EUZ46:EVP46"/>
    <mergeCell ref="EVQ46:EWG46"/>
    <mergeCell ref="EWH46:EWX46"/>
    <mergeCell ref="EQK46:ERA46"/>
    <mergeCell ref="ERB46:ERR46"/>
    <mergeCell ref="ERS46:ESI46"/>
    <mergeCell ref="ESJ46:ESZ46"/>
    <mergeCell ref="ETA46:ETQ46"/>
    <mergeCell ref="END46:ENT46"/>
    <mergeCell ref="ENU46:EOK46"/>
    <mergeCell ref="EOL46:EPB46"/>
    <mergeCell ref="EPC46:EPS46"/>
    <mergeCell ref="EPT46:EQJ46"/>
    <mergeCell ref="EJW46:EKM46"/>
    <mergeCell ref="EKN46:ELD46"/>
    <mergeCell ref="ELE46:ELU46"/>
    <mergeCell ref="ELV46:EML46"/>
    <mergeCell ref="EMM46:ENC46"/>
    <mergeCell ref="EGP46:EHF46"/>
    <mergeCell ref="EHG46:EHW46"/>
    <mergeCell ref="EHX46:EIN46"/>
    <mergeCell ref="EIO46:EJE46"/>
    <mergeCell ref="EJF46:EJV46"/>
    <mergeCell ref="EDI46:EDY46"/>
    <mergeCell ref="EDZ46:EEP46"/>
    <mergeCell ref="EEQ46:EFG46"/>
    <mergeCell ref="EFH46:EFX46"/>
    <mergeCell ref="EFY46:EGO46"/>
    <mergeCell ref="EAB46:EAR46"/>
    <mergeCell ref="EAS46:EBI46"/>
    <mergeCell ref="EBJ46:EBZ46"/>
    <mergeCell ref="ECA46:ECQ46"/>
    <mergeCell ref="ECR46:EDH46"/>
    <mergeCell ref="DWU46:DXK46"/>
    <mergeCell ref="DXL46:DYB46"/>
    <mergeCell ref="DYC46:DYS46"/>
    <mergeCell ref="DYT46:DZJ46"/>
    <mergeCell ref="DZK46:EAA46"/>
    <mergeCell ref="DTN46:DUD46"/>
    <mergeCell ref="DUE46:DUU46"/>
    <mergeCell ref="DUV46:DVL46"/>
    <mergeCell ref="DVM46:DWC46"/>
    <mergeCell ref="DWD46:DWT46"/>
    <mergeCell ref="DQG46:DQW46"/>
    <mergeCell ref="DQX46:DRN46"/>
    <mergeCell ref="DRO46:DSE46"/>
    <mergeCell ref="DSF46:DSV46"/>
    <mergeCell ref="DSW46:DTM46"/>
    <mergeCell ref="DMZ46:DNP46"/>
    <mergeCell ref="DNQ46:DOG46"/>
    <mergeCell ref="DOH46:DOX46"/>
    <mergeCell ref="DOY46:DPO46"/>
    <mergeCell ref="DPP46:DQF46"/>
    <mergeCell ref="DJS46:DKI46"/>
    <mergeCell ref="DKJ46:DKZ46"/>
    <mergeCell ref="DLA46:DLQ46"/>
    <mergeCell ref="DLR46:DMH46"/>
    <mergeCell ref="DMI46:DMY46"/>
    <mergeCell ref="DGL46:DHB46"/>
    <mergeCell ref="DHC46:DHS46"/>
    <mergeCell ref="DHT46:DIJ46"/>
    <mergeCell ref="DIK46:DJA46"/>
    <mergeCell ref="DJB46:DJR46"/>
    <mergeCell ref="DDE46:DDU46"/>
    <mergeCell ref="DDV46:DEL46"/>
    <mergeCell ref="DEM46:DFC46"/>
    <mergeCell ref="DFD46:DFT46"/>
    <mergeCell ref="DFU46:DGK46"/>
    <mergeCell ref="CZX46:DAN46"/>
    <mergeCell ref="DAO46:DBE46"/>
    <mergeCell ref="DBF46:DBV46"/>
    <mergeCell ref="DBW46:DCM46"/>
    <mergeCell ref="DCN46:DDD46"/>
    <mergeCell ref="CWQ46:CXG46"/>
    <mergeCell ref="CXH46:CXX46"/>
    <mergeCell ref="CXY46:CYO46"/>
    <mergeCell ref="CYP46:CZF46"/>
    <mergeCell ref="CZG46:CZW46"/>
    <mergeCell ref="CTJ46:CTZ46"/>
    <mergeCell ref="CUA46:CUQ46"/>
    <mergeCell ref="CUR46:CVH46"/>
    <mergeCell ref="CVI46:CVY46"/>
    <mergeCell ref="CVZ46:CWP46"/>
    <mergeCell ref="CQC46:CQS46"/>
    <mergeCell ref="CQT46:CRJ46"/>
    <mergeCell ref="CRK46:CSA46"/>
    <mergeCell ref="CSB46:CSR46"/>
    <mergeCell ref="CSS46:CTI46"/>
    <mergeCell ref="CMV46:CNL46"/>
    <mergeCell ref="CNM46:COC46"/>
    <mergeCell ref="COD46:COT46"/>
    <mergeCell ref="COU46:CPK46"/>
    <mergeCell ref="CPL46:CQB46"/>
    <mergeCell ref="CJO46:CKE46"/>
    <mergeCell ref="CKF46:CKV46"/>
    <mergeCell ref="CKW46:CLM46"/>
    <mergeCell ref="CLN46:CMD46"/>
    <mergeCell ref="CME46:CMU46"/>
    <mergeCell ref="CGH46:CGX46"/>
    <mergeCell ref="CGY46:CHO46"/>
    <mergeCell ref="CHP46:CIF46"/>
    <mergeCell ref="CIG46:CIW46"/>
    <mergeCell ref="CIX46:CJN46"/>
    <mergeCell ref="CDA46:CDQ46"/>
    <mergeCell ref="CDR46:CEH46"/>
    <mergeCell ref="CEI46:CEY46"/>
    <mergeCell ref="CEZ46:CFP46"/>
    <mergeCell ref="CFQ46:CGG46"/>
    <mergeCell ref="BZT46:CAJ46"/>
    <mergeCell ref="CAK46:CBA46"/>
    <mergeCell ref="CBB46:CBR46"/>
    <mergeCell ref="CBS46:CCI46"/>
    <mergeCell ref="CCJ46:CCZ46"/>
    <mergeCell ref="BWM46:BXC46"/>
    <mergeCell ref="BXD46:BXT46"/>
    <mergeCell ref="BXU46:BYK46"/>
    <mergeCell ref="BYL46:BZB46"/>
    <mergeCell ref="BZC46:BZS46"/>
    <mergeCell ref="BTF46:BTV46"/>
    <mergeCell ref="BTW46:BUM46"/>
    <mergeCell ref="BUN46:BVD46"/>
    <mergeCell ref="BVE46:BVU46"/>
    <mergeCell ref="BVV46:BWL46"/>
    <mergeCell ref="BPY46:BQO46"/>
    <mergeCell ref="BQP46:BRF46"/>
    <mergeCell ref="BRG46:BRW46"/>
    <mergeCell ref="BRX46:BSN46"/>
    <mergeCell ref="BSO46:BTE46"/>
    <mergeCell ref="BMR46:BNH46"/>
    <mergeCell ref="BNI46:BNY46"/>
    <mergeCell ref="BNZ46:BOP46"/>
    <mergeCell ref="BOQ46:BPG46"/>
    <mergeCell ref="BPH46:BPX46"/>
    <mergeCell ref="BJK46:BKA46"/>
    <mergeCell ref="BKB46:BKR46"/>
    <mergeCell ref="BKS46:BLI46"/>
    <mergeCell ref="BLJ46:BLZ46"/>
    <mergeCell ref="BMA46:BMQ46"/>
    <mergeCell ref="BGD46:BGT46"/>
    <mergeCell ref="BGU46:BHK46"/>
    <mergeCell ref="BHL46:BIB46"/>
    <mergeCell ref="BIC46:BIS46"/>
    <mergeCell ref="BIT46:BJJ46"/>
    <mergeCell ref="BCW46:BDM46"/>
    <mergeCell ref="BDN46:BED46"/>
    <mergeCell ref="BEE46:BEU46"/>
    <mergeCell ref="BEV46:BFL46"/>
    <mergeCell ref="BFM46:BGC46"/>
    <mergeCell ref="AZP46:BAF46"/>
    <mergeCell ref="BAG46:BAW46"/>
    <mergeCell ref="BAX46:BBN46"/>
    <mergeCell ref="BBO46:BCE46"/>
    <mergeCell ref="BCF46:BCV46"/>
    <mergeCell ref="AWI46:AWY46"/>
    <mergeCell ref="AWZ46:AXP46"/>
    <mergeCell ref="AXQ46:AYG46"/>
    <mergeCell ref="AYH46:AYX46"/>
    <mergeCell ref="AYY46:AZO46"/>
    <mergeCell ref="ATB46:ATR46"/>
    <mergeCell ref="ATS46:AUI46"/>
    <mergeCell ref="AUJ46:AUZ46"/>
    <mergeCell ref="AVA46:AVQ46"/>
    <mergeCell ref="AVR46:AWH46"/>
    <mergeCell ref="APU46:AQK46"/>
    <mergeCell ref="AQL46:ARB46"/>
    <mergeCell ref="ARC46:ARS46"/>
    <mergeCell ref="ART46:ASJ46"/>
    <mergeCell ref="ASK46:ATA46"/>
    <mergeCell ref="AMN46:AND46"/>
    <mergeCell ref="ANE46:ANU46"/>
    <mergeCell ref="ANV46:AOL46"/>
    <mergeCell ref="AOM46:APC46"/>
    <mergeCell ref="APD46:APT46"/>
    <mergeCell ref="AJG46:AJW46"/>
    <mergeCell ref="AJX46:AKN46"/>
    <mergeCell ref="AKO46:ALE46"/>
    <mergeCell ref="ALF46:ALV46"/>
    <mergeCell ref="ALW46:AMM46"/>
    <mergeCell ref="AFZ46:AGP46"/>
    <mergeCell ref="AGQ46:AHG46"/>
    <mergeCell ref="AHH46:AHX46"/>
    <mergeCell ref="AHY46:AIO46"/>
    <mergeCell ref="AIP46:AJF46"/>
    <mergeCell ref="ACS46:ADI46"/>
    <mergeCell ref="ADJ46:ADZ46"/>
    <mergeCell ref="AEA46:AEQ46"/>
    <mergeCell ref="AER46:AFH46"/>
    <mergeCell ref="AFI46:AFY46"/>
    <mergeCell ref="ZL46:AAB46"/>
    <mergeCell ref="AAC46:AAS46"/>
    <mergeCell ref="AAT46:ABJ46"/>
    <mergeCell ref="ABK46:ACA46"/>
    <mergeCell ref="ACB46:ACR46"/>
    <mergeCell ref="WE46:WU46"/>
    <mergeCell ref="WV46:XL46"/>
    <mergeCell ref="XM46:YC46"/>
    <mergeCell ref="YD46:YT46"/>
    <mergeCell ref="YU46:ZK46"/>
    <mergeCell ref="SX46:TN46"/>
    <mergeCell ref="TO46:UE46"/>
    <mergeCell ref="UF46:UV46"/>
    <mergeCell ref="UW46:VM46"/>
    <mergeCell ref="VN46:WD46"/>
    <mergeCell ref="PQ46:QG46"/>
    <mergeCell ref="QH46:QX46"/>
    <mergeCell ref="QY46:RO46"/>
    <mergeCell ref="RP46:SF46"/>
    <mergeCell ref="SG46:SW46"/>
    <mergeCell ref="OI46:OY46"/>
    <mergeCell ref="OZ46:PP46"/>
    <mergeCell ref="JC46:JS46"/>
    <mergeCell ref="JT46:KJ46"/>
    <mergeCell ref="KK46:LA46"/>
    <mergeCell ref="LB46:LR46"/>
    <mergeCell ref="LS46:MI46"/>
    <mergeCell ref="FV46:GL46"/>
    <mergeCell ref="GM46:HC46"/>
    <mergeCell ref="HD46:HT46"/>
    <mergeCell ref="HU46:IK46"/>
    <mergeCell ref="IL46:JB46"/>
    <mergeCell ref="CO46:DE46"/>
    <mergeCell ref="DF46:DV46"/>
    <mergeCell ref="DW46:EM46"/>
    <mergeCell ref="EN46:FD46"/>
    <mergeCell ref="FE46:FU46"/>
    <mergeCell ref="BY46:CN46"/>
    <mergeCell ref="XBA45:XBQ45"/>
    <mergeCell ref="XBR45:XCH45"/>
    <mergeCell ref="XCI45:XCY45"/>
    <mergeCell ref="WNY45:WOO45"/>
    <mergeCell ref="WOP45:WPF45"/>
    <mergeCell ref="WPG45:WPW45"/>
    <mergeCell ref="WPX45:WQN45"/>
    <mergeCell ref="WQO45:WRE45"/>
    <mergeCell ref="WKR45:WLH45"/>
    <mergeCell ref="WLI45:WLY45"/>
    <mergeCell ref="WLZ45:WMP45"/>
    <mergeCell ref="WMQ45:WNG45"/>
    <mergeCell ref="WNH45:WNX45"/>
    <mergeCell ref="WHK45:WIA45"/>
    <mergeCell ref="WIB45:WIR45"/>
    <mergeCell ref="WIS45:WJI45"/>
    <mergeCell ref="WJJ45:WJZ45"/>
    <mergeCell ref="WKA45:WKQ45"/>
    <mergeCell ref="WED45:WET45"/>
    <mergeCell ref="WEU45:WFK45"/>
    <mergeCell ref="WFL45:WGB45"/>
    <mergeCell ref="WGC45:WGS45"/>
    <mergeCell ref="WGT45:WHJ45"/>
    <mergeCell ref="WAW45:WBM45"/>
    <mergeCell ref="WBN45:WCD45"/>
    <mergeCell ref="WCE45:WCU45"/>
    <mergeCell ref="WCV45:WDL45"/>
    <mergeCell ref="WDM45:WEC45"/>
    <mergeCell ref="MJ46:MZ46"/>
    <mergeCell ref="NA46:NQ46"/>
    <mergeCell ref="NR46:OH46"/>
    <mergeCell ref="XCZ45:XDP45"/>
    <mergeCell ref="XDQ45:XEC45"/>
    <mergeCell ref="WXT45:WYJ45"/>
    <mergeCell ref="WYK45:WZA45"/>
    <mergeCell ref="WZB45:WZR45"/>
    <mergeCell ref="WZS45:XAI45"/>
    <mergeCell ref="XAJ45:XAZ45"/>
    <mergeCell ref="WUM45:WVC45"/>
    <mergeCell ref="WVD45:WVT45"/>
    <mergeCell ref="WVU45:WWK45"/>
    <mergeCell ref="WWL45:WXB45"/>
    <mergeCell ref="WXC45:WXS45"/>
    <mergeCell ref="WRF45:WRV45"/>
    <mergeCell ref="WRW45:WSM45"/>
    <mergeCell ref="WSN45:WTD45"/>
    <mergeCell ref="WTE45:WTU45"/>
    <mergeCell ref="WTV45:WUL45"/>
    <mergeCell ref="VXP45:VYF45"/>
    <mergeCell ref="VYG45:VYW45"/>
    <mergeCell ref="VYX45:VZN45"/>
    <mergeCell ref="VZO45:WAE45"/>
    <mergeCell ref="WAF45:WAV45"/>
    <mergeCell ref="VUI45:VUY45"/>
    <mergeCell ref="VUZ45:VVP45"/>
    <mergeCell ref="VVQ45:VWG45"/>
    <mergeCell ref="VWH45:VWX45"/>
    <mergeCell ref="VWY45:VXO45"/>
    <mergeCell ref="VRB45:VRR45"/>
    <mergeCell ref="VRS45:VSI45"/>
    <mergeCell ref="VSJ45:VSZ45"/>
    <mergeCell ref="VTA45:VTQ45"/>
    <mergeCell ref="VTR45:VUH45"/>
    <mergeCell ref="VNU45:VOK45"/>
    <mergeCell ref="VOL45:VPB45"/>
    <mergeCell ref="VPC45:VPS45"/>
    <mergeCell ref="VPT45:VQJ45"/>
    <mergeCell ref="VQK45:VRA45"/>
    <mergeCell ref="VKN45:VLD45"/>
    <mergeCell ref="VLE45:VLU45"/>
    <mergeCell ref="VLV45:VML45"/>
    <mergeCell ref="VMM45:VNC45"/>
    <mergeCell ref="VND45:VNT45"/>
    <mergeCell ref="VHG45:VHW45"/>
    <mergeCell ref="VHX45:VIN45"/>
    <mergeCell ref="VIO45:VJE45"/>
    <mergeCell ref="VJF45:VJV45"/>
    <mergeCell ref="VJW45:VKM45"/>
    <mergeCell ref="VDZ45:VEP45"/>
    <mergeCell ref="VEQ45:VFG45"/>
    <mergeCell ref="VFH45:VFX45"/>
    <mergeCell ref="VFY45:VGO45"/>
    <mergeCell ref="VGP45:VHF45"/>
    <mergeCell ref="VAS45:VBI45"/>
    <mergeCell ref="VBJ45:VBZ45"/>
    <mergeCell ref="VCA45:VCQ45"/>
    <mergeCell ref="VCR45:VDH45"/>
    <mergeCell ref="VDI45:VDY45"/>
    <mergeCell ref="UXL45:UYB45"/>
    <mergeCell ref="UYC45:UYS45"/>
    <mergeCell ref="UYT45:UZJ45"/>
    <mergeCell ref="UZK45:VAA45"/>
    <mergeCell ref="VAB45:VAR45"/>
    <mergeCell ref="UUE45:UUU45"/>
    <mergeCell ref="UUV45:UVL45"/>
    <mergeCell ref="UVM45:UWC45"/>
    <mergeCell ref="UWD45:UWT45"/>
    <mergeCell ref="UWU45:UXK45"/>
    <mergeCell ref="UQX45:URN45"/>
    <mergeCell ref="URO45:USE45"/>
    <mergeCell ref="USF45:USV45"/>
    <mergeCell ref="USW45:UTM45"/>
    <mergeCell ref="UTN45:UUD45"/>
    <mergeCell ref="UNQ45:UOG45"/>
    <mergeCell ref="UOH45:UOX45"/>
    <mergeCell ref="UOY45:UPO45"/>
    <mergeCell ref="UPP45:UQF45"/>
    <mergeCell ref="UQG45:UQW45"/>
    <mergeCell ref="UKJ45:UKZ45"/>
    <mergeCell ref="ULA45:ULQ45"/>
    <mergeCell ref="ULR45:UMH45"/>
    <mergeCell ref="UMI45:UMY45"/>
    <mergeCell ref="UMZ45:UNP45"/>
    <mergeCell ref="UHC45:UHS45"/>
    <mergeCell ref="UHT45:UIJ45"/>
    <mergeCell ref="UIK45:UJA45"/>
    <mergeCell ref="UJB45:UJR45"/>
    <mergeCell ref="UJS45:UKI45"/>
    <mergeCell ref="UDV45:UEL45"/>
    <mergeCell ref="UEM45:UFC45"/>
    <mergeCell ref="UFD45:UFT45"/>
    <mergeCell ref="UFU45:UGK45"/>
    <mergeCell ref="UGL45:UHB45"/>
    <mergeCell ref="UAO45:UBE45"/>
    <mergeCell ref="UBF45:UBV45"/>
    <mergeCell ref="UBW45:UCM45"/>
    <mergeCell ref="UCN45:UDD45"/>
    <mergeCell ref="UDE45:UDU45"/>
    <mergeCell ref="TXH45:TXX45"/>
    <mergeCell ref="TXY45:TYO45"/>
    <mergeCell ref="TYP45:TZF45"/>
    <mergeCell ref="TZG45:TZW45"/>
    <mergeCell ref="TZX45:UAN45"/>
    <mergeCell ref="TUA45:TUQ45"/>
    <mergeCell ref="TUR45:TVH45"/>
    <mergeCell ref="TVI45:TVY45"/>
    <mergeCell ref="TVZ45:TWP45"/>
    <mergeCell ref="TWQ45:TXG45"/>
    <mergeCell ref="TQT45:TRJ45"/>
    <mergeCell ref="TRK45:TSA45"/>
    <mergeCell ref="TSB45:TSR45"/>
    <mergeCell ref="TSS45:TTI45"/>
    <mergeCell ref="TTJ45:TTZ45"/>
    <mergeCell ref="TNM45:TOC45"/>
    <mergeCell ref="TOD45:TOT45"/>
    <mergeCell ref="TOU45:TPK45"/>
    <mergeCell ref="TPL45:TQB45"/>
    <mergeCell ref="TQC45:TQS45"/>
    <mergeCell ref="TKF45:TKV45"/>
    <mergeCell ref="TKW45:TLM45"/>
    <mergeCell ref="TLN45:TMD45"/>
    <mergeCell ref="TME45:TMU45"/>
    <mergeCell ref="TMV45:TNL45"/>
    <mergeCell ref="TGY45:THO45"/>
    <mergeCell ref="THP45:TIF45"/>
    <mergeCell ref="TIG45:TIW45"/>
    <mergeCell ref="TIX45:TJN45"/>
    <mergeCell ref="TJO45:TKE45"/>
    <mergeCell ref="TDR45:TEH45"/>
    <mergeCell ref="TEI45:TEY45"/>
    <mergeCell ref="TEZ45:TFP45"/>
    <mergeCell ref="TFQ45:TGG45"/>
    <mergeCell ref="TGH45:TGX45"/>
    <mergeCell ref="TAK45:TBA45"/>
    <mergeCell ref="TBB45:TBR45"/>
    <mergeCell ref="TBS45:TCI45"/>
    <mergeCell ref="TCJ45:TCZ45"/>
    <mergeCell ref="TDA45:TDQ45"/>
    <mergeCell ref="SXD45:SXT45"/>
    <mergeCell ref="SXU45:SYK45"/>
    <mergeCell ref="SYL45:SZB45"/>
    <mergeCell ref="SZC45:SZS45"/>
    <mergeCell ref="SZT45:TAJ45"/>
    <mergeCell ref="STW45:SUM45"/>
    <mergeCell ref="SUN45:SVD45"/>
    <mergeCell ref="SVE45:SVU45"/>
    <mergeCell ref="SVV45:SWL45"/>
    <mergeCell ref="SWM45:SXC45"/>
    <mergeCell ref="SQP45:SRF45"/>
    <mergeCell ref="SRG45:SRW45"/>
    <mergeCell ref="SRX45:SSN45"/>
    <mergeCell ref="SSO45:STE45"/>
    <mergeCell ref="STF45:STV45"/>
    <mergeCell ref="SNI45:SNY45"/>
    <mergeCell ref="SNZ45:SOP45"/>
    <mergeCell ref="SOQ45:SPG45"/>
    <mergeCell ref="SPH45:SPX45"/>
    <mergeCell ref="SPY45:SQO45"/>
    <mergeCell ref="SKB45:SKR45"/>
    <mergeCell ref="SKS45:SLI45"/>
    <mergeCell ref="SLJ45:SLZ45"/>
    <mergeCell ref="SMA45:SMQ45"/>
    <mergeCell ref="SMR45:SNH45"/>
    <mergeCell ref="SGU45:SHK45"/>
    <mergeCell ref="SHL45:SIB45"/>
    <mergeCell ref="SIC45:SIS45"/>
    <mergeCell ref="SIT45:SJJ45"/>
    <mergeCell ref="SJK45:SKA45"/>
    <mergeCell ref="SDN45:SED45"/>
    <mergeCell ref="SEE45:SEU45"/>
    <mergeCell ref="SEV45:SFL45"/>
    <mergeCell ref="SFM45:SGC45"/>
    <mergeCell ref="SGD45:SGT45"/>
    <mergeCell ref="SAG45:SAW45"/>
    <mergeCell ref="SAX45:SBN45"/>
    <mergeCell ref="SBO45:SCE45"/>
    <mergeCell ref="SCF45:SCV45"/>
    <mergeCell ref="SCW45:SDM45"/>
    <mergeCell ref="RWZ45:RXP45"/>
    <mergeCell ref="RXQ45:RYG45"/>
    <mergeCell ref="RYH45:RYX45"/>
    <mergeCell ref="RYY45:RZO45"/>
    <mergeCell ref="RZP45:SAF45"/>
    <mergeCell ref="RTS45:RUI45"/>
    <mergeCell ref="RUJ45:RUZ45"/>
    <mergeCell ref="RVA45:RVQ45"/>
    <mergeCell ref="RVR45:RWH45"/>
    <mergeCell ref="RWI45:RWY45"/>
    <mergeCell ref="RQL45:RRB45"/>
    <mergeCell ref="RRC45:RRS45"/>
    <mergeCell ref="RRT45:RSJ45"/>
    <mergeCell ref="RSK45:RTA45"/>
    <mergeCell ref="RTB45:RTR45"/>
    <mergeCell ref="RNE45:RNU45"/>
    <mergeCell ref="RNV45:ROL45"/>
    <mergeCell ref="ROM45:RPC45"/>
    <mergeCell ref="RPD45:RPT45"/>
    <mergeCell ref="RPU45:RQK45"/>
    <mergeCell ref="RJX45:RKN45"/>
    <mergeCell ref="RKO45:RLE45"/>
    <mergeCell ref="RLF45:RLV45"/>
    <mergeCell ref="RLW45:RMM45"/>
    <mergeCell ref="RMN45:RND45"/>
    <mergeCell ref="RGQ45:RHG45"/>
    <mergeCell ref="RHH45:RHX45"/>
    <mergeCell ref="RHY45:RIO45"/>
    <mergeCell ref="RIP45:RJF45"/>
    <mergeCell ref="RJG45:RJW45"/>
    <mergeCell ref="RDJ45:RDZ45"/>
    <mergeCell ref="REA45:REQ45"/>
    <mergeCell ref="RER45:RFH45"/>
    <mergeCell ref="RFI45:RFY45"/>
    <mergeCell ref="RFZ45:RGP45"/>
    <mergeCell ref="RAC45:RAS45"/>
    <mergeCell ref="RAT45:RBJ45"/>
    <mergeCell ref="RBK45:RCA45"/>
    <mergeCell ref="RCB45:RCR45"/>
    <mergeCell ref="RCS45:RDI45"/>
    <mergeCell ref="QWV45:QXL45"/>
    <mergeCell ref="QXM45:QYC45"/>
    <mergeCell ref="QYD45:QYT45"/>
    <mergeCell ref="QYU45:QZK45"/>
    <mergeCell ref="QZL45:RAB45"/>
    <mergeCell ref="QTO45:QUE45"/>
    <mergeCell ref="QUF45:QUV45"/>
    <mergeCell ref="QUW45:QVM45"/>
    <mergeCell ref="QVN45:QWD45"/>
    <mergeCell ref="QWE45:QWU45"/>
    <mergeCell ref="QQH45:QQX45"/>
    <mergeCell ref="QQY45:QRO45"/>
    <mergeCell ref="QRP45:QSF45"/>
    <mergeCell ref="QSG45:QSW45"/>
    <mergeCell ref="QSX45:QTN45"/>
    <mergeCell ref="QNA45:QNQ45"/>
    <mergeCell ref="QNR45:QOH45"/>
    <mergeCell ref="QOI45:QOY45"/>
    <mergeCell ref="QOZ45:QPP45"/>
    <mergeCell ref="QPQ45:QQG45"/>
    <mergeCell ref="QJT45:QKJ45"/>
    <mergeCell ref="QKK45:QLA45"/>
    <mergeCell ref="QLB45:QLR45"/>
    <mergeCell ref="QLS45:QMI45"/>
    <mergeCell ref="QMJ45:QMZ45"/>
    <mergeCell ref="QGM45:QHC45"/>
    <mergeCell ref="QHD45:QHT45"/>
    <mergeCell ref="QHU45:QIK45"/>
    <mergeCell ref="QIL45:QJB45"/>
    <mergeCell ref="QJC45:QJS45"/>
    <mergeCell ref="QDF45:QDV45"/>
    <mergeCell ref="QDW45:QEM45"/>
    <mergeCell ref="QEN45:QFD45"/>
    <mergeCell ref="QFE45:QFU45"/>
    <mergeCell ref="QFV45:QGL45"/>
    <mergeCell ref="PZY45:QAO45"/>
    <mergeCell ref="QAP45:QBF45"/>
    <mergeCell ref="QBG45:QBW45"/>
    <mergeCell ref="QBX45:QCN45"/>
    <mergeCell ref="QCO45:QDE45"/>
    <mergeCell ref="PWR45:PXH45"/>
    <mergeCell ref="PXI45:PXY45"/>
    <mergeCell ref="PXZ45:PYP45"/>
    <mergeCell ref="PYQ45:PZG45"/>
    <mergeCell ref="PZH45:PZX45"/>
    <mergeCell ref="PTK45:PUA45"/>
    <mergeCell ref="PUB45:PUR45"/>
    <mergeCell ref="PUS45:PVI45"/>
    <mergeCell ref="PVJ45:PVZ45"/>
    <mergeCell ref="PWA45:PWQ45"/>
    <mergeCell ref="PQD45:PQT45"/>
    <mergeCell ref="PQU45:PRK45"/>
    <mergeCell ref="PRL45:PSB45"/>
    <mergeCell ref="PSC45:PSS45"/>
    <mergeCell ref="PST45:PTJ45"/>
    <mergeCell ref="PMW45:PNM45"/>
    <mergeCell ref="PNN45:POD45"/>
    <mergeCell ref="POE45:POU45"/>
    <mergeCell ref="POV45:PPL45"/>
    <mergeCell ref="PPM45:PQC45"/>
    <mergeCell ref="PJP45:PKF45"/>
    <mergeCell ref="PKG45:PKW45"/>
    <mergeCell ref="PKX45:PLN45"/>
    <mergeCell ref="PLO45:PME45"/>
    <mergeCell ref="PMF45:PMV45"/>
    <mergeCell ref="PGI45:PGY45"/>
    <mergeCell ref="PGZ45:PHP45"/>
    <mergeCell ref="PHQ45:PIG45"/>
    <mergeCell ref="PIH45:PIX45"/>
    <mergeCell ref="PIY45:PJO45"/>
    <mergeCell ref="PDB45:PDR45"/>
    <mergeCell ref="PDS45:PEI45"/>
    <mergeCell ref="PEJ45:PEZ45"/>
    <mergeCell ref="PFA45:PFQ45"/>
    <mergeCell ref="PFR45:PGH45"/>
    <mergeCell ref="OZU45:PAK45"/>
    <mergeCell ref="PAL45:PBB45"/>
    <mergeCell ref="PBC45:PBS45"/>
    <mergeCell ref="PBT45:PCJ45"/>
    <mergeCell ref="PCK45:PDA45"/>
    <mergeCell ref="OWN45:OXD45"/>
    <mergeCell ref="OXE45:OXU45"/>
    <mergeCell ref="OXV45:OYL45"/>
    <mergeCell ref="OYM45:OZC45"/>
    <mergeCell ref="OZD45:OZT45"/>
    <mergeCell ref="OTG45:OTW45"/>
    <mergeCell ref="OTX45:OUN45"/>
    <mergeCell ref="OUO45:OVE45"/>
    <mergeCell ref="OVF45:OVV45"/>
    <mergeCell ref="OVW45:OWM45"/>
    <mergeCell ref="OPZ45:OQP45"/>
    <mergeCell ref="OQQ45:ORG45"/>
    <mergeCell ref="ORH45:ORX45"/>
    <mergeCell ref="ORY45:OSO45"/>
    <mergeCell ref="OSP45:OTF45"/>
    <mergeCell ref="OMS45:ONI45"/>
    <mergeCell ref="ONJ45:ONZ45"/>
    <mergeCell ref="OOA45:OOQ45"/>
    <mergeCell ref="OOR45:OPH45"/>
    <mergeCell ref="OPI45:OPY45"/>
    <mergeCell ref="OJL45:OKB45"/>
    <mergeCell ref="OKC45:OKS45"/>
    <mergeCell ref="OKT45:OLJ45"/>
    <mergeCell ref="OLK45:OMA45"/>
    <mergeCell ref="OMB45:OMR45"/>
    <mergeCell ref="OGE45:OGU45"/>
    <mergeCell ref="OGV45:OHL45"/>
    <mergeCell ref="OHM45:OIC45"/>
    <mergeCell ref="OID45:OIT45"/>
    <mergeCell ref="OIU45:OJK45"/>
    <mergeCell ref="OCX45:ODN45"/>
    <mergeCell ref="ODO45:OEE45"/>
    <mergeCell ref="OEF45:OEV45"/>
    <mergeCell ref="OEW45:OFM45"/>
    <mergeCell ref="OFN45:OGD45"/>
    <mergeCell ref="NZQ45:OAG45"/>
    <mergeCell ref="OAH45:OAX45"/>
    <mergeCell ref="OAY45:OBO45"/>
    <mergeCell ref="OBP45:OCF45"/>
    <mergeCell ref="OCG45:OCW45"/>
    <mergeCell ref="NWJ45:NWZ45"/>
    <mergeCell ref="NXA45:NXQ45"/>
    <mergeCell ref="NXR45:NYH45"/>
    <mergeCell ref="NYI45:NYY45"/>
    <mergeCell ref="NYZ45:NZP45"/>
    <mergeCell ref="NTC45:NTS45"/>
    <mergeCell ref="NTT45:NUJ45"/>
    <mergeCell ref="NUK45:NVA45"/>
    <mergeCell ref="NVB45:NVR45"/>
    <mergeCell ref="NVS45:NWI45"/>
    <mergeCell ref="NPV45:NQL45"/>
    <mergeCell ref="NQM45:NRC45"/>
    <mergeCell ref="NRD45:NRT45"/>
    <mergeCell ref="NRU45:NSK45"/>
    <mergeCell ref="NSL45:NTB45"/>
    <mergeCell ref="NMO45:NNE45"/>
    <mergeCell ref="NNF45:NNV45"/>
    <mergeCell ref="NNW45:NOM45"/>
    <mergeCell ref="NON45:NPD45"/>
    <mergeCell ref="NPE45:NPU45"/>
    <mergeCell ref="NJH45:NJX45"/>
    <mergeCell ref="NJY45:NKO45"/>
    <mergeCell ref="NKP45:NLF45"/>
    <mergeCell ref="NLG45:NLW45"/>
    <mergeCell ref="NLX45:NMN45"/>
    <mergeCell ref="NGA45:NGQ45"/>
    <mergeCell ref="NGR45:NHH45"/>
    <mergeCell ref="NHI45:NHY45"/>
    <mergeCell ref="NHZ45:NIP45"/>
    <mergeCell ref="NIQ45:NJG45"/>
    <mergeCell ref="NCT45:NDJ45"/>
    <mergeCell ref="NDK45:NEA45"/>
    <mergeCell ref="NEB45:NER45"/>
    <mergeCell ref="NES45:NFI45"/>
    <mergeCell ref="NFJ45:NFZ45"/>
    <mergeCell ref="MZM45:NAC45"/>
    <mergeCell ref="NAD45:NAT45"/>
    <mergeCell ref="NAU45:NBK45"/>
    <mergeCell ref="NBL45:NCB45"/>
    <mergeCell ref="NCC45:NCS45"/>
    <mergeCell ref="MWF45:MWV45"/>
    <mergeCell ref="MWW45:MXM45"/>
    <mergeCell ref="MXN45:MYD45"/>
    <mergeCell ref="MYE45:MYU45"/>
    <mergeCell ref="MYV45:MZL45"/>
    <mergeCell ref="MSY45:MTO45"/>
    <mergeCell ref="MTP45:MUF45"/>
    <mergeCell ref="MUG45:MUW45"/>
    <mergeCell ref="MUX45:MVN45"/>
    <mergeCell ref="MVO45:MWE45"/>
    <mergeCell ref="MPR45:MQH45"/>
    <mergeCell ref="MQI45:MQY45"/>
    <mergeCell ref="MQZ45:MRP45"/>
    <mergeCell ref="MRQ45:MSG45"/>
    <mergeCell ref="MSH45:MSX45"/>
    <mergeCell ref="MMK45:MNA45"/>
    <mergeCell ref="MNB45:MNR45"/>
    <mergeCell ref="MNS45:MOI45"/>
    <mergeCell ref="MOJ45:MOZ45"/>
    <mergeCell ref="MPA45:MPQ45"/>
    <mergeCell ref="MJD45:MJT45"/>
    <mergeCell ref="MJU45:MKK45"/>
    <mergeCell ref="MKL45:MLB45"/>
    <mergeCell ref="MLC45:MLS45"/>
    <mergeCell ref="MLT45:MMJ45"/>
    <mergeCell ref="MFW45:MGM45"/>
    <mergeCell ref="MGN45:MHD45"/>
    <mergeCell ref="MHE45:MHU45"/>
    <mergeCell ref="MHV45:MIL45"/>
    <mergeCell ref="MIM45:MJC45"/>
    <mergeCell ref="MCP45:MDF45"/>
    <mergeCell ref="MDG45:MDW45"/>
    <mergeCell ref="MDX45:MEN45"/>
    <mergeCell ref="MEO45:MFE45"/>
    <mergeCell ref="MFF45:MFV45"/>
    <mergeCell ref="LZI45:LZY45"/>
    <mergeCell ref="LZZ45:MAP45"/>
    <mergeCell ref="MAQ45:MBG45"/>
    <mergeCell ref="MBH45:MBX45"/>
    <mergeCell ref="MBY45:MCO45"/>
    <mergeCell ref="LWB45:LWR45"/>
    <mergeCell ref="LWS45:LXI45"/>
    <mergeCell ref="LXJ45:LXZ45"/>
    <mergeCell ref="LYA45:LYQ45"/>
    <mergeCell ref="LYR45:LZH45"/>
    <mergeCell ref="LSU45:LTK45"/>
    <mergeCell ref="LTL45:LUB45"/>
    <mergeCell ref="LUC45:LUS45"/>
    <mergeCell ref="LUT45:LVJ45"/>
    <mergeCell ref="LVK45:LWA45"/>
    <mergeCell ref="LPN45:LQD45"/>
    <mergeCell ref="LQE45:LQU45"/>
    <mergeCell ref="LQV45:LRL45"/>
    <mergeCell ref="LRM45:LSC45"/>
    <mergeCell ref="LSD45:LST45"/>
    <mergeCell ref="LMG45:LMW45"/>
    <mergeCell ref="LMX45:LNN45"/>
    <mergeCell ref="LNO45:LOE45"/>
    <mergeCell ref="LOF45:LOV45"/>
    <mergeCell ref="LOW45:LPM45"/>
    <mergeCell ref="LIZ45:LJP45"/>
    <mergeCell ref="LJQ45:LKG45"/>
    <mergeCell ref="LKH45:LKX45"/>
    <mergeCell ref="LKY45:LLO45"/>
    <mergeCell ref="LLP45:LMF45"/>
    <mergeCell ref="LFS45:LGI45"/>
    <mergeCell ref="LGJ45:LGZ45"/>
    <mergeCell ref="LHA45:LHQ45"/>
    <mergeCell ref="LHR45:LIH45"/>
    <mergeCell ref="LII45:LIY45"/>
    <mergeCell ref="LCL45:LDB45"/>
    <mergeCell ref="LDC45:LDS45"/>
    <mergeCell ref="LDT45:LEJ45"/>
    <mergeCell ref="LEK45:LFA45"/>
    <mergeCell ref="LFB45:LFR45"/>
    <mergeCell ref="KZE45:KZU45"/>
    <mergeCell ref="KZV45:LAL45"/>
    <mergeCell ref="LAM45:LBC45"/>
    <mergeCell ref="LBD45:LBT45"/>
    <mergeCell ref="LBU45:LCK45"/>
    <mergeCell ref="KVX45:KWN45"/>
    <mergeCell ref="KWO45:KXE45"/>
    <mergeCell ref="KXF45:KXV45"/>
    <mergeCell ref="KXW45:KYM45"/>
    <mergeCell ref="KYN45:KZD45"/>
    <mergeCell ref="KSQ45:KTG45"/>
    <mergeCell ref="KTH45:KTX45"/>
    <mergeCell ref="KTY45:KUO45"/>
    <mergeCell ref="KUP45:KVF45"/>
    <mergeCell ref="KVG45:KVW45"/>
    <mergeCell ref="KPJ45:KPZ45"/>
    <mergeCell ref="KQA45:KQQ45"/>
    <mergeCell ref="KQR45:KRH45"/>
    <mergeCell ref="KRI45:KRY45"/>
    <mergeCell ref="KRZ45:KSP45"/>
    <mergeCell ref="KMC45:KMS45"/>
    <mergeCell ref="KMT45:KNJ45"/>
    <mergeCell ref="KNK45:KOA45"/>
    <mergeCell ref="KOB45:KOR45"/>
    <mergeCell ref="KOS45:KPI45"/>
    <mergeCell ref="KIV45:KJL45"/>
    <mergeCell ref="KJM45:KKC45"/>
    <mergeCell ref="KKD45:KKT45"/>
    <mergeCell ref="KKU45:KLK45"/>
    <mergeCell ref="KLL45:KMB45"/>
    <mergeCell ref="KFO45:KGE45"/>
    <mergeCell ref="KGF45:KGV45"/>
    <mergeCell ref="KGW45:KHM45"/>
    <mergeCell ref="KHN45:KID45"/>
    <mergeCell ref="KIE45:KIU45"/>
    <mergeCell ref="KCH45:KCX45"/>
    <mergeCell ref="KCY45:KDO45"/>
    <mergeCell ref="KDP45:KEF45"/>
    <mergeCell ref="KEG45:KEW45"/>
    <mergeCell ref="KEX45:KFN45"/>
    <mergeCell ref="JZA45:JZQ45"/>
    <mergeCell ref="JZR45:KAH45"/>
    <mergeCell ref="KAI45:KAY45"/>
    <mergeCell ref="KAZ45:KBP45"/>
    <mergeCell ref="KBQ45:KCG45"/>
    <mergeCell ref="JVT45:JWJ45"/>
    <mergeCell ref="JWK45:JXA45"/>
    <mergeCell ref="JXB45:JXR45"/>
    <mergeCell ref="JXS45:JYI45"/>
    <mergeCell ref="JYJ45:JYZ45"/>
    <mergeCell ref="JSM45:JTC45"/>
    <mergeCell ref="JTD45:JTT45"/>
    <mergeCell ref="JTU45:JUK45"/>
    <mergeCell ref="JUL45:JVB45"/>
    <mergeCell ref="JVC45:JVS45"/>
    <mergeCell ref="JPF45:JPV45"/>
    <mergeCell ref="JPW45:JQM45"/>
    <mergeCell ref="JQN45:JRD45"/>
    <mergeCell ref="JRE45:JRU45"/>
    <mergeCell ref="JRV45:JSL45"/>
    <mergeCell ref="JLY45:JMO45"/>
    <mergeCell ref="JMP45:JNF45"/>
    <mergeCell ref="JNG45:JNW45"/>
    <mergeCell ref="JNX45:JON45"/>
    <mergeCell ref="JOO45:JPE45"/>
    <mergeCell ref="JIR45:JJH45"/>
    <mergeCell ref="JJI45:JJY45"/>
    <mergeCell ref="JJZ45:JKP45"/>
    <mergeCell ref="JKQ45:JLG45"/>
    <mergeCell ref="JLH45:JLX45"/>
    <mergeCell ref="JFK45:JGA45"/>
    <mergeCell ref="JGB45:JGR45"/>
    <mergeCell ref="JGS45:JHI45"/>
    <mergeCell ref="JHJ45:JHZ45"/>
    <mergeCell ref="JIA45:JIQ45"/>
    <mergeCell ref="JCD45:JCT45"/>
    <mergeCell ref="JCU45:JDK45"/>
    <mergeCell ref="JDL45:JEB45"/>
    <mergeCell ref="JEC45:JES45"/>
    <mergeCell ref="JET45:JFJ45"/>
    <mergeCell ref="IYW45:IZM45"/>
    <mergeCell ref="IZN45:JAD45"/>
    <mergeCell ref="JAE45:JAU45"/>
    <mergeCell ref="JAV45:JBL45"/>
    <mergeCell ref="JBM45:JCC45"/>
    <mergeCell ref="IVP45:IWF45"/>
    <mergeCell ref="IWG45:IWW45"/>
    <mergeCell ref="IWX45:IXN45"/>
    <mergeCell ref="IXO45:IYE45"/>
    <mergeCell ref="IYF45:IYV45"/>
    <mergeCell ref="ISI45:ISY45"/>
    <mergeCell ref="ISZ45:ITP45"/>
    <mergeCell ref="ITQ45:IUG45"/>
    <mergeCell ref="IUH45:IUX45"/>
    <mergeCell ref="IUY45:IVO45"/>
    <mergeCell ref="IPB45:IPR45"/>
    <mergeCell ref="IPS45:IQI45"/>
    <mergeCell ref="IQJ45:IQZ45"/>
    <mergeCell ref="IRA45:IRQ45"/>
    <mergeCell ref="IRR45:ISH45"/>
    <mergeCell ref="ILU45:IMK45"/>
    <mergeCell ref="IML45:INB45"/>
    <mergeCell ref="INC45:INS45"/>
    <mergeCell ref="INT45:IOJ45"/>
    <mergeCell ref="IOK45:IPA45"/>
    <mergeCell ref="IIN45:IJD45"/>
    <mergeCell ref="IJE45:IJU45"/>
    <mergeCell ref="IJV45:IKL45"/>
    <mergeCell ref="IKM45:ILC45"/>
    <mergeCell ref="ILD45:ILT45"/>
    <mergeCell ref="IFG45:IFW45"/>
    <mergeCell ref="IFX45:IGN45"/>
    <mergeCell ref="IGO45:IHE45"/>
    <mergeCell ref="IHF45:IHV45"/>
    <mergeCell ref="IHW45:IIM45"/>
    <mergeCell ref="IBZ45:ICP45"/>
    <mergeCell ref="ICQ45:IDG45"/>
    <mergeCell ref="IDH45:IDX45"/>
    <mergeCell ref="IDY45:IEO45"/>
    <mergeCell ref="IEP45:IFF45"/>
    <mergeCell ref="HYS45:HZI45"/>
    <mergeCell ref="HZJ45:HZZ45"/>
    <mergeCell ref="IAA45:IAQ45"/>
    <mergeCell ref="IAR45:IBH45"/>
    <mergeCell ref="IBI45:IBY45"/>
    <mergeCell ref="HVL45:HWB45"/>
    <mergeCell ref="HWC45:HWS45"/>
    <mergeCell ref="HWT45:HXJ45"/>
    <mergeCell ref="HXK45:HYA45"/>
    <mergeCell ref="HYB45:HYR45"/>
    <mergeCell ref="HSE45:HSU45"/>
    <mergeCell ref="HSV45:HTL45"/>
    <mergeCell ref="HTM45:HUC45"/>
    <mergeCell ref="HUD45:HUT45"/>
    <mergeCell ref="HUU45:HVK45"/>
    <mergeCell ref="HOX45:HPN45"/>
    <mergeCell ref="HPO45:HQE45"/>
    <mergeCell ref="HQF45:HQV45"/>
    <mergeCell ref="HQW45:HRM45"/>
    <mergeCell ref="HRN45:HSD45"/>
    <mergeCell ref="HLQ45:HMG45"/>
    <mergeCell ref="HMH45:HMX45"/>
    <mergeCell ref="HMY45:HNO45"/>
    <mergeCell ref="HNP45:HOF45"/>
    <mergeCell ref="HOG45:HOW45"/>
    <mergeCell ref="HIJ45:HIZ45"/>
    <mergeCell ref="HJA45:HJQ45"/>
    <mergeCell ref="HJR45:HKH45"/>
    <mergeCell ref="HKI45:HKY45"/>
    <mergeCell ref="HKZ45:HLP45"/>
    <mergeCell ref="HFC45:HFS45"/>
    <mergeCell ref="HFT45:HGJ45"/>
    <mergeCell ref="HGK45:HHA45"/>
    <mergeCell ref="HHB45:HHR45"/>
    <mergeCell ref="HHS45:HII45"/>
    <mergeCell ref="HBV45:HCL45"/>
    <mergeCell ref="HCM45:HDC45"/>
    <mergeCell ref="HDD45:HDT45"/>
    <mergeCell ref="HDU45:HEK45"/>
    <mergeCell ref="HEL45:HFB45"/>
    <mergeCell ref="GYO45:GZE45"/>
    <mergeCell ref="GZF45:GZV45"/>
    <mergeCell ref="GZW45:HAM45"/>
    <mergeCell ref="HAN45:HBD45"/>
    <mergeCell ref="HBE45:HBU45"/>
    <mergeCell ref="GVH45:GVX45"/>
    <mergeCell ref="GVY45:GWO45"/>
    <mergeCell ref="GWP45:GXF45"/>
    <mergeCell ref="GXG45:GXW45"/>
    <mergeCell ref="GXX45:GYN45"/>
    <mergeCell ref="GSA45:GSQ45"/>
    <mergeCell ref="GSR45:GTH45"/>
    <mergeCell ref="GTI45:GTY45"/>
    <mergeCell ref="GTZ45:GUP45"/>
    <mergeCell ref="GUQ45:GVG45"/>
    <mergeCell ref="GOT45:GPJ45"/>
    <mergeCell ref="GPK45:GQA45"/>
    <mergeCell ref="GQB45:GQR45"/>
    <mergeCell ref="GQS45:GRI45"/>
    <mergeCell ref="GRJ45:GRZ45"/>
    <mergeCell ref="GLM45:GMC45"/>
    <mergeCell ref="GMD45:GMT45"/>
    <mergeCell ref="GMU45:GNK45"/>
    <mergeCell ref="GNL45:GOB45"/>
    <mergeCell ref="GOC45:GOS45"/>
    <mergeCell ref="GIF45:GIV45"/>
    <mergeCell ref="GIW45:GJM45"/>
    <mergeCell ref="GJN45:GKD45"/>
    <mergeCell ref="GKE45:GKU45"/>
    <mergeCell ref="GKV45:GLL45"/>
    <mergeCell ref="GEY45:GFO45"/>
    <mergeCell ref="GFP45:GGF45"/>
    <mergeCell ref="GGG45:GGW45"/>
    <mergeCell ref="GGX45:GHN45"/>
    <mergeCell ref="GHO45:GIE45"/>
    <mergeCell ref="GBR45:GCH45"/>
    <mergeCell ref="GCI45:GCY45"/>
    <mergeCell ref="GCZ45:GDP45"/>
    <mergeCell ref="GDQ45:GEG45"/>
    <mergeCell ref="GEH45:GEX45"/>
    <mergeCell ref="FYK45:FZA45"/>
    <mergeCell ref="FZB45:FZR45"/>
    <mergeCell ref="FZS45:GAI45"/>
    <mergeCell ref="GAJ45:GAZ45"/>
    <mergeCell ref="GBA45:GBQ45"/>
    <mergeCell ref="FVD45:FVT45"/>
    <mergeCell ref="FVU45:FWK45"/>
    <mergeCell ref="FWL45:FXB45"/>
    <mergeCell ref="FXC45:FXS45"/>
    <mergeCell ref="FXT45:FYJ45"/>
    <mergeCell ref="FRW45:FSM45"/>
    <mergeCell ref="FSN45:FTD45"/>
    <mergeCell ref="FTE45:FTU45"/>
    <mergeCell ref="FTV45:FUL45"/>
    <mergeCell ref="FUM45:FVC45"/>
    <mergeCell ref="FOP45:FPF45"/>
    <mergeCell ref="FPG45:FPW45"/>
    <mergeCell ref="FPX45:FQN45"/>
    <mergeCell ref="FQO45:FRE45"/>
    <mergeCell ref="FRF45:FRV45"/>
    <mergeCell ref="FLI45:FLY45"/>
    <mergeCell ref="FLZ45:FMP45"/>
    <mergeCell ref="FMQ45:FNG45"/>
    <mergeCell ref="FNH45:FNX45"/>
    <mergeCell ref="FNY45:FOO45"/>
    <mergeCell ref="FIB45:FIR45"/>
    <mergeCell ref="FIS45:FJI45"/>
    <mergeCell ref="FJJ45:FJZ45"/>
    <mergeCell ref="FKA45:FKQ45"/>
    <mergeCell ref="FKR45:FLH45"/>
    <mergeCell ref="FEU45:FFK45"/>
    <mergeCell ref="FFL45:FGB45"/>
    <mergeCell ref="FGC45:FGS45"/>
    <mergeCell ref="FGT45:FHJ45"/>
    <mergeCell ref="FHK45:FIA45"/>
    <mergeCell ref="FBN45:FCD45"/>
    <mergeCell ref="FCE45:FCU45"/>
    <mergeCell ref="FCV45:FDL45"/>
    <mergeCell ref="FDM45:FEC45"/>
    <mergeCell ref="FED45:FET45"/>
    <mergeCell ref="EYG45:EYW45"/>
    <mergeCell ref="EYX45:EZN45"/>
    <mergeCell ref="EZO45:FAE45"/>
    <mergeCell ref="FAF45:FAV45"/>
    <mergeCell ref="FAW45:FBM45"/>
    <mergeCell ref="EUZ45:EVP45"/>
    <mergeCell ref="EVQ45:EWG45"/>
    <mergeCell ref="EWH45:EWX45"/>
    <mergeCell ref="EWY45:EXO45"/>
    <mergeCell ref="EXP45:EYF45"/>
    <mergeCell ref="ERS45:ESI45"/>
    <mergeCell ref="ESJ45:ESZ45"/>
    <mergeCell ref="ETA45:ETQ45"/>
    <mergeCell ref="ETR45:EUH45"/>
    <mergeCell ref="EUI45:EUY45"/>
    <mergeCell ref="EOL45:EPB45"/>
    <mergeCell ref="EPC45:EPS45"/>
    <mergeCell ref="EPT45:EQJ45"/>
    <mergeCell ref="EQK45:ERA45"/>
    <mergeCell ref="ERB45:ERR45"/>
    <mergeCell ref="ELE45:ELU45"/>
    <mergeCell ref="ELV45:EML45"/>
    <mergeCell ref="EMM45:ENC45"/>
    <mergeCell ref="END45:ENT45"/>
    <mergeCell ref="ENU45:EOK45"/>
    <mergeCell ref="EHX45:EIN45"/>
    <mergeCell ref="EIO45:EJE45"/>
    <mergeCell ref="EJF45:EJV45"/>
    <mergeCell ref="EJW45:EKM45"/>
    <mergeCell ref="EKN45:ELD45"/>
    <mergeCell ref="EEQ45:EFG45"/>
    <mergeCell ref="EFH45:EFX45"/>
    <mergeCell ref="EFY45:EGO45"/>
    <mergeCell ref="EGP45:EHF45"/>
    <mergeCell ref="EHG45:EHW45"/>
    <mergeCell ref="EBJ45:EBZ45"/>
    <mergeCell ref="ECA45:ECQ45"/>
    <mergeCell ref="ECR45:EDH45"/>
    <mergeCell ref="EDI45:EDY45"/>
    <mergeCell ref="EDZ45:EEP45"/>
    <mergeCell ref="DYC45:DYS45"/>
    <mergeCell ref="DYT45:DZJ45"/>
    <mergeCell ref="DZK45:EAA45"/>
    <mergeCell ref="EAB45:EAR45"/>
    <mergeCell ref="EAS45:EBI45"/>
    <mergeCell ref="DUV45:DVL45"/>
    <mergeCell ref="DVM45:DWC45"/>
    <mergeCell ref="DWD45:DWT45"/>
    <mergeCell ref="DWU45:DXK45"/>
    <mergeCell ref="DXL45:DYB45"/>
    <mergeCell ref="DRO45:DSE45"/>
    <mergeCell ref="DSF45:DSV45"/>
    <mergeCell ref="DSW45:DTM45"/>
    <mergeCell ref="DTN45:DUD45"/>
    <mergeCell ref="DUE45:DUU45"/>
    <mergeCell ref="DOH45:DOX45"/>
    <mergeCell ref="DOY45:DPO45"/>
    <mergeCell ref="DPP45:DQF45"/>
    <mergeCell ref="DQG45:DQW45"/>
    <mergeCell ref="DQX45:DRN45"/>
    <mergeCell ref="DLA45:DLQ45"/>
    <mergeCell ref="DLR45:DMH45"/>
    <mergeCell ref="DMI45:DMY45"/>
    <mergeCell ref="DMZ45:DNP45"/>
    <mergeCell ref="DNQ45:DOG45"/>
    <mergeCell ref="DHT45:DIJ45"/>
    <mergeCell ref="DIK45:DJA45"/>
    <mergeCell ref="DJB45:DJR45"/>
    <mergeCell ref="DJS45:DKI45"/>
    <mergeCell ref="DKJ45:DKZ45"/>
    <mergeCell ref="DEM45:DFC45"/>
    <mergeCell ref="DFD45:DFT45"/>
    <mergeCell ref="DFU45:DGK45"/>
    <mergeCell ref="DGL45:DHB45"/>
    <mergeCell ref="DHC45:DHS45"/>
    <mergeCell ref="DBF45:DBV45"/>
    <mergeCell ref="DBW45:DCM45"/>
    <mergeCell ref="DCN45:DDD45"/>
    <mergeCell ref="DDE45:DDU45"/>
    <mergeCell ref="DDV45:DEL45"/>
    <mergeCell ref="CXY45:CYO45"/>
    <mergeCell ref="CYP45:CZF45"/>
    <mergeCell ref="CZG45:CZW45"/>
    <mergeCell ref="CZX45:DAN45"/>
    <mergeCell ref="DAO45:DBE45"/>
    <mergeCell ref="CUR45:CVH45"/>
    <mergeCell ref="CVI45:CVY45"/>
    <mergeCell ref="CVZ45:CWP45"/>
    <mergeCell ref="CWQ45:CXG45"/>
    <mergeCell ref="CXH45:CXX45"/>
    <mergeCell ref="CRK45:CSA45"/>
    <mergeCell ref="CSB45:CSR45"/>
    <mergeCell ref="CSS45:CTI45"/>
    <mergeCell ref="CTJ45:CTZ45"/>
    <mergeCell ref="CUA45:CUQ45"/>
    <mergeCell ref="COD45:COT45"/>
    <mergeCell ref="COU45:CPK45"/>
    <mergeCell ref="CPL45:CQB45"/>
    <mergeCell ref="CQC45:CQS45"/>
    <mergeCell ref="CQT45:CRJ45"/>
    <mergeCell ref="CKW45:CLM45"/>
    <mergeCell ref="CLN45:CMD45"/>
    <mergeCell ref="CME45:CMU45"/>
    <mergeCell ref="CMV45:CNL45"/>
    <mergeCell ref="CNM45:COC45"/>
    <mergeCell ref="CHP45:CIF45"/>
    <mergeCell ref="CIG45:CIW45"/>
    <mergeCell ref="CIX45:CJN45"/>
    <mergeCell ref="CJO45:CKE45"/>
    <mergeCell ref="CKF45:CKV45"/>
    <mergeCell ref="CEI45:CEY45"/>
    <mergeCell ref="CEZ45:CFP45"/>
    <mergeCell ref="CFQ45:CGG45"/>
    <mergeCell ref="CGH45:CGX45"/>
    <mergeCell ref="CGY45:CHO45"/>
    <mergeCell ref="CBB45:CBR45"/>
    <mergeCell ref="CBS45:CCI45"/>
    <mergeCell ref="CCJ45:CCZ45"/>
    <mergeCell ref="CDA45:CDQ45"/>
    <mergeCell ref="CDR45:CEH45"/>
    <mergeCell ref="BXU45:BYK45"/>
    <mergeCell ref="BYL45:BZB45"/>
    <mergeCell ref="BZC45:BZS45"/>
    <mergeCell ref="BZT45:CAJ45"/>
    <mergeCell ref="CAK45:CBA45"/>
    <mergeCell ref="BUN45:BVD45"/>
    <mergeCell ref="BVE45:BVU45"/>
    <mergeCell ref="BVV45:BWL45"/>
    <mergeCell ref="BWM45:BXC45"/>
    <mergeCell ref="BXD45:BXT45"/>
    <mergeCell ref="BRG45:BRW45"/>
    <mergeCell ref="BRX45:BSN45"/>
    <mergeCell ref="BSO45:BTE45"/>
    <mergeCell ref="BTF45:BTV45"/>
    <mergeCell ref="BTW45:BUM45"/>
    <mergeCell ref="BNZ45:BOP45"/>
    <mergeCell ref="BOQ45:BPG45"/>
    <mergeCell ref="BPH45:BPX45"/>
    <mergeCell ref="BPY45:BQO45"/>
    <mergeCell ref="BQP45:BRF45"/>
    <mergeCell ref="BKS45:BLI45"/>
    <mergeCell ref="BLJ45:BLZ45"/>
    <mergeCell ref="BMA45:BMQ45"/>
    <mergeCell ref="BMR45:BNH45"/>
    <mergeCell ref="BNI45:BNY45"/>
    <mergeCell ref="BHL45:BIB45"/>
    <mergeCell ref="BIC45:BIS45"/>
    <mergeCell ref="BIT45:BJJ45"/>
    <mergeCell ref="BJK45:BKA45"/>
    <mergeCell ref="BKB45:BKR45"/>
    <mergeCell ref="BEE45:BEU45"/>
    <mergeCell ref="BEV45:BFL45"/>
    <mergeCell ref="BFM45:BGC45"/>
    <mergeCell ref="BGD45:BGT45"/>
    <mergeCell ref="BGU45:BHK45"/>
    <mergeCell ref="BAX45:BBN45"/>
    <mergeCell ref="BBO45:BCE45"/>
    <mergeCell ref="BCF45:BCV45"/>
    <mergeCell ref="BCW45:BDM45"/>
    <mergeCell ref="BDN45:BED45"/>
    <mergeCell ref="AXQ45:AYG45"/>
    <mergeCell ref="AYH45:AYX45"/>
    <mergeCell ref="AYY45:AZO45"/>
    <mergeCell ref="AZP45:BAF45"/>
    <mergeCell ref="BAG45:BAW45"/>
    <mergeCell ref="AUJ45:AUZ45"/>
    <mergeCell ref="AVA45:AVQ45"/>
    <mergeCell ref="AVR45:AWH45"/>
    <mergeCell ref="AWI45:AWY45"/>
    <mergeCell ref="AWZ45:AXP45"/>
    <mergeCell ref="ARC45:ARS45"/>
    <mergeCell ref="ART45:ASJ45"/>
    <mergeCell ref="ASK45:ATA45"/>
    <mergeCell ref="ATB45:ATR45"/>
    <mergeCell ref="ATS45:AUI45"/>
    <mergeCell ref="ANV45:AOL45"/>
    <mergeCell ref="AOM45:APC45"/>
    <mergeCell ref="APD45:APT45"/>
    <mergeCell ref="APU45:AQK45"/>
    <mergeCell ref="AQL45:ARB45"/>
    <mergeCell ref="AKO45:ALE45"/>
    <mergeCell ref="ALF45:ALV45"/>
    <mergeCell ref="ALW45:AMM45"/>
    <mergeCell ref="AMN45:AND45"/>
    <mergeCell ref="ANE45:ANU45"/>
    <mergeCell ref="AHH45:AHX45"/>
    <mergeCell ref="AHY45:AIO45"/>
    <mergeCell ref="AIP45:AJF45"/>
    <mergeCell ref="AJG45:AJW45"/>
    <mergeCell ref="AJX45:AKN45"/>
    <mergeCell ref="AEA45:AEQ45"/>
    <mergeCell ref="AER45:AFH45"/>
    <mergeCell ref="AFI45:AFY45"/>
    <mergeCell ref="AFZ45:AGP45"/>
    <mergeCell ref="AGQ45:AHG45"/>
    <mergeCell ref="AAT45:ABJ45"/>
    <mergeCell ref="ABK45:ACA45"/>
    <mergeCell ref="ACB45:ACR45"/>
    <mergeCell ref="ACS45:ADI45"/>
    <mergeCell ref="ADJ45:ADZ45"/>
    <mergeCell ref="XM45:YC45"/>
    <mergeCell ref="YD45:YT45"/>
    <mergeCell ref="YU45:ZK45"/>
    <mergeCell ref="ZL45:AAB45"/>
    <mergeCell ref="AAC45:AAS45"/>
    <mergeCell ref="UF45:UV45"/>
    <mergeCell ref="UW45:VM45"/>
    <mergeCell ref="VN45:WD45"/>
    <mergeCell ref="WE45:WU45"/>
    <mergeCell ref="WV45:XL45"/>
    <mergeCell ref="QY45:RO45"/>
    <mergeCell ref="RP45:SF45"/>
    <mergeCell ref="SG45:SW45"/>
    <mergeCell ref="SX45:TN45"/>
    <mergeCell ref="TO45:UE45"/>
    <mergeCell ref="NR45:OH45"/>
    <mergeCell ref="OI45:OY45"/>
    <mergeCell ref="OZ45:PP45"/>
    <mergeCell ref="PQ45:QG45"/>
    <mergeCell ref="QH45:QX45"/>
    <mergeCell ref="KK45:LA45"/>
    <mergeCell ref="LB45:LR45"/>
    <mergeCell ref="LS45:MI45"/>
    <mergeCell ref="MJ45:MZ45"/>
    <mergeCell ref="NA45:NQ45"/>
    <mergeCell ref="HD45:HT45"/>
    <mergeCell ref="HU45:IK45"/>
    <mergeCell ref="IL45:JB45"/>
    <mergeCell ref="JC45:JS45"/>
    <mergeCell ref="JT45:KJ45"/>
    <mergeCell ref="DW45:EM45"/>
    <mergeCell ref="EN45:FD45"/>
    <mergeCell ref="FE45:FU45"/>
    <mergeCell ref="FV45:GL45"/>
    <mergeCell ref="GM45:HC45"/>
    <mergeCell ref="BN45:BP45"/>
    <mergeCell ref="BQ45:BU45"/>
    <mergeCell ref="BY45:CN45"/>
    <mergeCell ref="CO45:DE45"/>
    <mergeCell ref="DF45:DV45"/>
    <mergeCell ref="S45:AG45"/>
    <mergeCell ref="AX45:BM45"/>
    <mergeCell ref="BG2:BK2"/>
    <mergeCell ref="BG3:BK3"/>
    <mergeCell ref="BL2:BP2"/>
    <mergeCell ref="BL3:BP3"/>
    <mergeCell ref="BQ3:BU3"/>
    <mergeCell ref="AM2:AQ2"/>
    <mergeCell ref="AG2:AK2"/>
    <mergeCell ref="A50:N50"/>
    <mergeCell ref="C2:G2"/>
    <mergeCell ref="H2:L2"/>
    <mergeCell ref="M2:Q2"/>
    <mergeCell ref="AB2:AF2"/>
    <mergeCell ref="R2:V2"/>
    <mergeCell ref="W2:AA2"/>
    <mergeCell ref="S46:AG46"/>
    <mergeCell ref="AR2:AV2"/>
    <mergeCell ref="AW2:BA2"/>
    <mergeCell ref="BB2:BF2"/>
    <mergeCell ref="AG3:AK3"/>
    <mergeCell ref="AM3:AQ3"/>
    <mergeCell ref="AR3:AV3"/>
    <mergeCell ref="AW3:BA3"/>
    <mergeCell ref="BB3:BF3"/>
    <mergeCell ref="AX46:BM46"/>
    <mergeCell ref="BN46:BP46"/>
    <mergeCell ref="BQ46:BU46"/>
    <mergeCell ref="BQ2:BU2"/>
  </mergeCells>
  <conditionalFormatting sqref="CB5:CB44">
    <cfRule type="containsText" dxfId="8" priority="7" operator="containsText" text="PRAWDA">
      <formula>NOT(ISERROR(SEARCH("PRAWDA",CB5)))</formula>
    </cfRule>
    <cfRule type="containsText" dxfId="7" priority="8" operator="containsText" text="FAŁSZ">
      <formula>NOT(ISERROR(SEARCH("FAŁSZ",CB5)))</formula>
    </cfRule>
    <cfRule type="cellIs" dxfId="6" priority="9" operator="equal">
      <formula>"""FAŁSZ"""</formula>
    </cfRule>
  </conditionalFormatting>
  <conditionalFormatting sqref="CE13">
    <cfRule type="containsText" dxfId="5" priority="1" operator="containsText" text="PRAWDA">
      <formula>NOT(ISERROR(SEARCH("PRAWDA",CE13)))</formula>
    </cfRule>
    <cfRule type="containsText" dxfId="4" priority="2" operator="containsText" text="FAŁSZ">
      <formula>NOT(ISERROR(SEARCH("FAŁSZ",CE13)))</formula>
    </cfRule>
    <cfRule type="cellIs" dxfId="3" priority="3" operator="equal">
      <formula>"""FAŁSZ"""</formula>
    </cfRule>
  </conditionalFormatting>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10 AA26:AA28 AA31 AA24 AB11:AD11 C11:F11 H11:K11 M11:P11 R11:Z11 AG11:AJ11 AM11:AP11 AR11:AU11 AW11:AZ11 BB11:BE11 BG11:BH11 AA19:AA21 AA6:AA8 AA12:AA16 BU35" formulaRange="1"/>
    <ignoredError sqref="AA25 AA32 Y35:Z35 G11 G25 L11 L25 Q11 Q25 AA11 X35 AF25 AF32 AF11 AK30 AK32 AQ30 AQ32 AV30:AV32 BA30:BA32 BB30 BU30 BU32 BP30 BP32 BU25 BU11" formula="1"/>
    <ignoredError sqref="AE11 AQ11 AK11 AV11" formula="1" formulaRange="1"/>
    <ignoredError sqref="AP37 AJ37" evalError="1"/>
  </ignoredErrors>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8203125" style="1" customWidth="1"/>
    <col min="3" max="14" width="10.58203125" style="1" customWidth="1" outlineLevel="1"/>
    <col min="15" max="15" width="9" style="1" customWidth="1" outlineLevel="1"/>
    <col min="16" max="17" width="10.58203125" style="1" customWidth="1" outlineLevel="1"/>
    <col min="18" max="20" width="9" style="1" customWidth="1" outlineLevel="1"/>
    <col min="21" max="22" width="10.58203125" style="1" customWidth="1" outlineLevel="1"/>
    <col min="23" max="25" width="9" style="1" customWidth="1" outlineLevel="1"/>
    <col min="26" max="27" width="10.58203125" style="1" customWidth="1" outlineLevel="1"/>
    <col min="28" max="30" width="9" style="1" customWidth="1" outlineLevel="1"/>
    <col min="31" max="32" width="10.58203125" style="1" customWidth="1" outlineLevel="1"/>
    <col min="33" max="35" width="9" style="1"/>
    <col min="36" max="37" width="10.58203125" style="1" customWidth="1"/>
    <col min="38" max="16384" width="9" style="1"/>
  </cols>
  <sheetData>
    <row r="1" spans="1:53" s="9" customFormat="1" ht="89.25" customHeight="1">
      <c r="A1" s="3"/>
      <c r="B1" s="3"/>
      <c r="C1" s="3"/>
      <c r="AM1" s="10"/>
      <c r="AN1" s="10"/>
      <c r="AR1" s="10"/>
      <c r="AS1" s="10"/>
      <c r="AW1" s="10"/>
      <c r="AX1" s="10"/>
    </row>
    <row r="2" spans="1:53" s="33" customFormat="1" ht="12.5" thickBot="1">
      <c r="A2" s="1030"/>
      <c r="B2" s="1030"/>
      <c r="C2" s="1030"/>
      <c r="D2" s="1030"/>
      <c r="E2" s="1030"/>
      <c r="F2" s="1030"/>
      <c r="G2" s="1030"/>
      <c r="H2" s="1030"/>
      <c r="I2" s="1030"/>
      <c r="J2" s="1030"/>
      <c r="K2" s="1030"/>
      <c r="L2" s="1030"/>
      <c r="M2" s="1030"/>
      <c r="N2" s="1030"/>
      <c r="O2" s="1030"/>
      <c r="AK2" s="76"/>
      <c r="AM2" s="1"/>
      <c r="AN2" s="1"/>
      <c r="AR2" s="1"/>
      <c r="AS2" s="1"/>
      <c r="AW2" s="1"/>
      <c r="AX2" s="1"/>
    </row>
    <row r="3" spans="1:53" s="337" customFormat="1" ht="20.149999999999999" customHeight="1">
      <c r="A3" s="202" t="s">
        <v>615</v>
      </c>
      <c r="B3" s="203" t="s">
        <v>616</v>
      </c>
      <c r="C3" s="1026">
        <v>2012</v>
      </c>
      <c r="D3" s="1027"/>
      <c r="E3" s="1027"/>
      <c r="F3" s="1027"/>
      <c r="G3" s="1028">
        <v>2012</v>
      </c>
      <c r="H3" s="1026">
        <v>2013</v>
      </c>
      <c r="I3" s="1027"/>
      <c r="J3" s="1027"/>
      <c r="K3" s="1027"/>
      <c r="L3" s="1028">
        <v>2013</v>
      </c>
      <c r="M3" s="1026">
        <v>2014</v>
      </c>
      <c r="N3" s="1027"/>
      <c r="O3" s="1027"/>
      <c r="P3" s="1027"/>
      <c r="Q3" s="1028">
        <v>2014</v>
      </c>
      <c r="R3" s="1026">
        <v>2015</v>
      </c>
      <c r="S3" s="1027"/>
      <c r="T3" s="1027"/>
      <c r="U3" s="1027"/>
      <c r="V3" s="1028">
        <v>2015</v>
      </c>
      <c r="W3" s="1026">
        <v>2016</v>
      </c>
      <c r="X3" s="1027"/>
      <c r="Y3" s="1027"/>
      <c r="Z3" s="1027"/>
      <c r="AA3" s="1028">
        <v>2016</v>
      </c>
      <c r="AB3" s="1026">
        <v>2017</v>
      </c>
      <c r="AC3" s="1027"/>
      <c r="AD3" s="1027"/>
      <c r="AE3" s="1027"/>
      <c r="AF3" s="1028">
        <v>2017</v>
      </c>
      <c r="AG3" s="1026">
        <v>2018</v>
      </c>
      <c r="AH3" s="1027"/>
      <c r="AI3" s="1027"/>
      <c r="AJ3" s="1027"/>
      <c r="AK3" s="1028" t="s">
        <v>728</v>
      </c>
      <c r="AL3" s="1026">
        <v>2019</v>
      </c>
      <c r="AM3" s="1027"/>
      <c r="AN3" s="1027"/>
      <c r="AO3" s="1027"/>
      <c r="AP3" s="1028" t="s">
        <v>28</v>
      </c>
      <c r="AQ3" s="1026">
        <v>2020</v>
      </c>
      <c r="AR3" s="1027"/>
      <c r="AS3" s="1027"/>
      <c r="AT3" s="1027"/>
      <c r="AU3" s="1028" t="s">
        <v>29</v>
      </c>
      <c r="AV3" s="1026">
        <v>2021</v>
      </c>
      <c r="AW3" s="1027"/>
      <c r="AX3" s="1027"/>
      <c r="AY3" s="1027"/>
      <c r="AZ3" s="1028" t="s">
        <v>30</v>
      </c>
    </row>
    <row r="4" spans="1:53" s="337" customFormat="1" ht="21.75" customHeight="1" thickBot="1">
      <c r="A4" s="204"/>
      <c r="B4" s="205"/>
      <c r="C4" s="286" t="s">
        <v>617</v>
      </c>
      <c r="D4" s="287" t="s">
        <v>618</v>
      </c>
      <c r="E4" s="287" t="s">
        <v>619</v>
      </c>
      <c r="F4" s="287" t="s">
        <v>620</v>
      </c>
      <c r="G4" s="1029"/>
      <c r="H4" s="338" t="s">
        <v>617</v>
      </c>
      <c r="I4" s="339" t="s">
        <v>618</v>
      </c>
      <c r="J4" s="339" t="s">
        <v>619</v>
      </c>
      <c r="K4" s="339" t="s">
        <v>620</v>
      </c>
      <c r="L4" s="1029"/>
      <c r="M4" s="338" t="s">
        <v>617</v>
      </c>
      <c r="N4" s="339" t="s">
        <v>618</v>
      </c>
      <c r="O4" s="339" t="s">
        <v>619</v>
      </c>
      <c r="P4" s="339" t="s">
        <v>620</v>
      </c>
      <c r="Q4" s="1029"/>
      <c r="R4" s="338" t="s">
        <v>617</v>
      </c>
      <c r="S4" s="339" t="s">
        <v>618</v>
      </c>
      <c r="T4" s="339" t="s">
        <v>619</v>
      </c>
      <c r="U4" s="339" t="s">
        <v>620</v>
      </c>
      <c r="V4" s="1029"/>
      <c r="W4" s="338" t="s">
        <v>617</v>
      </c>
      <c r="X4" s="287" t="s">
        <v>618</v>
      </c>
      <c r="Y4" s="287" t="s">
        <v>619</v>
      </c>
      <c r="Z4" s="339" t="s">
        <v>620</v>
      </c>
      <c r="AA4" s="1029"/>
      <c r="AB4" s="338" t="s">
        <v>617</v>
      </c>
      <c r="AC4" s="287" t="s">
        <v>618</v>
      </c>
      <c r="AD4" s="287" t="s">
        <v>619</v>
      </c>
      <c r="AE4" s="339" t="s">
        <v>620</v>
      </c>
      <c r="AF4" s="1029"/>
      <c r="AG4" s="338" t="s">
        <v>617</v>
      </c>
      <c r="AH4" s="287" t="s">
        <v>729</v>
      </c>
      <c r="AI4" s="287" t="s">
        <v>730</v>
      </c>
      <c r="AJ4" s="339" t="s">
        <v>731</v>
      </c>
      <c r="AK4" s="1029"/>
      <c r="AL4" s="338" t="s">
        <v>732</v>
      </c>
      <c r="AM4" s="287" t="s">
        <v>729</v>
      </c>
      <c r="AN4" s="287" t="s">
        <v>730</v>
      </c>
      <c r="AO4" s="339" t="s">
        <v>731</v>
      </c>
      <c r="AP4" s="1029"/>
      <c r="AQ4" s="338" t="s">
        <v>732</v>
      </c>
      <c r="AR4" s="287" t="s">
        <v>729</v>
      </c>
      <c r="AS4" s="287" t="s">
        <v>730</v>
      </c>
      <c r="AT4" s="339" t="s">
        <v>731</v>
      </c>
      <c r="AU4" s="1029"/>
      <c r="AV4" s="338" t="s">
        <v>732</v>
      </c>
      <c r="AW4" s="287" t="s">
        <v>729</v>
      </c>
      <c r="AX4" s="287" t="s">
        <v>730</v>
      </c>
      <c r="AY4" s="339" t="s">
        <v>731</v>
      </c>
      <c r="AZ4" s="1029"/>
    </row>
    <row r="5" spans="1:53" s="4" customFormat="1" ht="20.149999999999999" customHeight="1" thickBot="1">
      <c r="A5" s="197" t="s">
        <v>733</v>
      </c>
      <c r="B5" s="197" t="s">
        <v>734</v>
      </c>
      <c r="C5" s="289" t="s">
        <v>735</v>
      </c>
      <c r="D5" s="290" t="s">
        <v>735</v>
      </c>
      <c r="E5" s="290" t="s">
        <v>735</v>
      </c>
      <c r="F5" s="290" t="s">
        <v>735</v>
      </c>
      <c r="G5" s="291" t="s">
        <v>735</v>
      </c>
      <c r="H5" s="293">
        <f t="shared" ref="H5:AJ5" si="0">H7+H24</f>
        <v>16348336</v>
      </c>
      <c r="I5" s="294">
        <f t="shared" si="0"/>
        <v>16434266</v>
      </c>
      <c r="J5" s="294">
        <f t="shared" si="0"/>
        <v>16627551</v>
      </c>
      <c r="K5" s="294">
        <f t="shared" si="0"/>
        <v>16447334</v>
      </c>
      <c r="L5" s="330">
        <f t="shared" si="0"/>
        <v>16447334</v>
      </c>
      <c r="M5" s="293">
        <f t="shared" si="0"/>
        <v>16333003</v>
      </c>
      <c r="N5" s="294">
        <f t="shared" si="0"/>
        <v>16250497</v>
      </c>
      <c r="O5" s="294">
        <f t="shared" si="0"/>
        <v>16449992</v>
      </c>
      <c r="P5" s="294">
        <f t="shared" si="0"/>
        <v>16482031</v>
      </c>
      <c r="Q5" s="330">
        <f t="shared" si="0"/>
        <v>16482031</v>
      </c>
      <c r="R5" s="293">
        <f t="shared" si="0"/>
        <v>16429469</v>
      </c>
      <c r="S5" s="294">
        <f t="shared" si="0"/>
        <v>16349090</v>
      </c>
      <c r="T5" s="294">
        <f t="shared" si="0"/>
        <v>16395514</v>
      </c>
      <c r="U5" s="294">
        <f t="shared" si="0"/>
        <v>16469696</v>
      </c>
      <c r="V5" s="330">
        <f t="shared" si="0"/>
        <v>16469696</v>
      </c>
      <c r="W5" s="293">
        <f t="shared" si="0"/>
        <v>16531833</v>
      </c>
      <c r="X5" s="294">
        <f t="shared" si="0"/>
        <v>16711541</v>
      </c>
      <c r="Y5" s="294">
        <f t="shared" si="0"/>
        <v>16545653</v>
      </c>
      <c r="Z5" s="294">
        <f t="shared" si="0"/>
        <v>16524936</v>
      </c>
      <c r="AA5" s="330">
        <f t="shared" si="0"/>
        <v>16524936</v>
      </c>
      <c r="AB5" s="293">
        <f t="shared" si="0"/>
        <v>16216128</v>
      </c>
      <c r="AC5" s="294">
        <f t="shared" si="0"/>
        <v>16273840</v>
      </c>
      <c r="AD5" s="294">
        <f t="shared" si="0"/>
        <v>16410325</v>
      </c>
      <c r="AE5" s="294">
        <f t="shared" si="0"/>
        <v>16522597</v>
      </c>
      <c r="AF5" s="330">
        <f t="shared" si="0"/>
        <v>16522597</v>
      </c>
      <c r="AG5" s="293">
        <f>AG7+AG24</f>
        <v>16579337</v>
      </c>
      <c r="AH5" s="294">
        <f t="shared" si="0"/>
        <v>16698622</v>
      </c>
      <c r="AI5" s="294">
        <f>AI7+AI24</f>
        <v>16851153</v>
      </c>
      <c r="AJ5" s="294">
        <f t="shared" si="0"/>
        <v>16906133</v>
      </c>
      <c r="AK5" s="330">
        <f>AK7+AK24</f>
        <v>16906133</v>
      </c>
      <c r="AL5" s="293">
        <f t="shared" ref="AL5:AT5" si="1">AL7+AL24</f>
        <v>16973770</v>
      </c>
      <c r="AM5" s="294">
        <f t="shared" si="1"/>
        <v>17058921</v>
      </c>
      <c r="AN5" s="294">
        <f t="shared" si="1"/>
        <v>17266759</v>
      </c>
      <c r="AO5" s="294">
        <f t="shared" si="1"/>
        <v>17386252</v>
      </c>
      <c r="AP5" s="330">
        <f t="shared" si="1"/>
        <v>17386252</v>
      </c>
      <c r="AQ5" s="293">
        <f t="shared" si="1"/>
        <v>17435613</v>
      </c>
      <c r="AR5" s="294">
        <f>AR7+AR24</f>
        <v>17504720</v>
      </c>
      <c r="AS5" s="294">
        <f t="shared" si="1"/>
        <v>17840155</v>
      </c>
      <c r="AT5" s="294">
        <f t="shared" si="1"/>
        <v>17989701</v>
      </c>
      <c r="AU5" s="330">
        <f>AU7+AU24</f>
        <v>17989701</v>
      </c>
      <c r="AV5" s="293">
        <f t="shared" ref="AV5" si="2">AV7+AV24</f>
        <v>18094192</v>
      </c>
      <c r="AW5" s="294">
        <f>AW7+AW24</f>
        <v>18022621</v>
      </c>
      <c r="AX5" s="294">
        <f t="shared" ref="AX5:AY5" si="3">AX7+AX24</f>
        <v>18121078</v>
      </c>
      <c r="AY5" s="294">
        <f t="shared" si="3"/>
        <v>0</v>
      </c>
      <c r="AZ5" s="330">
        <f>AZ7+AZ24</f>
        <v>18121078</v>
      </c>
    </row>
    <row r="6" spans="1:53" s="288" customFormat="1" ht="20.149999999999999" customHeight="1" thickBot="1">
      <c r="A6" s="202" t="s">
        <v>736</v>
      </c>
      <c r="B6" s="202" t="s">
        <v>737</v>
      </c>
      <c r="C6" s="310"/>
      <c r="D6" s="311"/>
      <c r="E6" s="311"/>
      <c r="F6" s="311"/>
      <c r="G6" s="312"/>
      <c r="H6" s="313"/>
      <c r="I6" s="311"/>
      <c r="J6" s="311"/>
      <c r="K6" s="311"/>
      <c r="L6" s="312"/>
      <c r="M6" s="314"/>
      <c r="N6" s="311"/>
      <c r="O6" s="311"/>
      <c r="P6" s="311"/>
      <c r="Q6" s="312"/>
      <c r="R6" s="314"/>
      <c r="S6" s="311"/>
      <c r="T6" s="311"/>
      <c r="U6" s="311"/>
      <c r="V6" s="312"/>
      <c r="W6" s="314"/>
      <c r="X6" s="315"/>
      <c r="Y6" s="315"/>
      <c r="Z6" s="311"/>
      <c r="AA6" s="312"/>
      <c r="AB6" s="314"/>
      <c r="AC6" s="315"/>
      <c r="AD6" s="315"/>
      <c r="AE6" s="311"/>
      <c r="AF6" s="312"/>
      <c r="AG6" s="315"/>
      <c r="AH6" s="315"/>
      <c r="AI6" s="315"/>
      <c r="AJ6" s="315"/>
      <c r="AK6" s="312"/>
      <c r="AL6" s="315"/>
      <c r="AM6" s="315"/>
      <c r="AN6" s="315"/>
      <c r="AO6" s="315"/>
      <c r="AP6" s="312"/>
      <c r="AQ6" s="315"/>
      <c r="AR6" s="315"/>
      <c r="AS6" s="315"/>
      <c r="AT6" s="315"/>
      <c r="AU6" s="312"/>
      <c r="AV6" s="315"/>
      <c r="AW6" s="315"/>
      <c r="AX6" s="315"/>
      <c r="AY6" s="315"/>
      <c r="AZ6" s="312"/>
    </row>
    <row r="7" spans="1:53" ht="20.149999999999999" customHeight="1" thickBot="1">
      <c r="A7" s="298" t="s">
        <v>738</v>
      </c>
      <c r="B7" s="299" t="s">
        <v>739</v>
      </c>
      <c r="C7" s="300">
        <f>C8+C10+C11</f>
        <v>11532547</v>
      </c>
      <c r="D7" s="301">
        <f t="shared" ref="D7:N7" si="4">D8+D10+D11</f>
        <v>11516833</v>
      </c>
      <c r="E7" s="301">
        <f t="shared" si="4"/>
        <v>11605099</v>
      </c>
      <c r="F7" s="301">
        <f t="shared" si="4"/>
        <v>11735100</v>
      </c>
      <c r="G7" s="309">
        <f>SUM(G8,G10:G11)</f>
        <v>11735100</v>
      </c>
      <c r="H7" s="300">
        <f t="shared" si="4"/>
        <v>11799951</v>
      </c>
      <c r="I7" s="301">
        <f t="shared" si="4"/>
        <v>11868947</v>
      </c>
      <c r="J7" s="301">
        <f t="shared" si="4"/>
        <v>11908422</v>
      </c>
      <c r="K7" s="301">
        <f t="shared" si="4"/>
        <v>11978807</v>
      </c>
      <c r="L7" s="309">
        <f>SUM(L8,L10:L11)</f>
        <v>11978807</v>
      </c>
      <c r="M7" s="300">
        <f t="shared" si="4"/>
        <v>11982678</v>
      </c>
      <c r="N7" s="301">
        <f t="shared" si="4"/>
        <v>12023369</v>
      </c>
      <c r="O7" s="301">
        <f>O8+O10+O11</f>
        <v>12230798</v>
      </c>
      <c r="P7" s="301">
        <f>P8+P10+P11</f>
        <v>12347828</v>
      </c>
      <c r="Q7" s="309">
        <f>Q8+Q10+Q11</f>
        <v>12347828</v>
      </c>
      <c r="R7" s="300">
        <f t="shared" ref="R7:AJ7" si="5">R8+R10+R11</f>
        <v>12394712</v>
      </c>
      <c r="S7" s="301">
        <f t="shared" si="5"/>
        <v>12377021</v>
      </c>
      <c r="T7" s="301">
        <f t="shared" si="5"/>
        <v>12418707</v>
      </c>
      <c r="U7" s="301">
        <f t="shared" si="5"/>
        <v>12614703</v>
      </c>
      <c r="V7" s="309">
        <f t="shared" si="5"/>
        <v>12614703</v>
      </c>
      <c r="W7" s="300">
        <f t="shared" si="5"/>
        <v>12744166</v>
      </c>
      <c r="X7" s="301">
        <f t="shared" si="5"/>
        <v>12880725</v>
      </c>
      <c r="Y7" s="301">
        <f t="shared" si="5"/>
        <v>13017749</v>
      </c>
      <c r="Z7" s="301">
        <f t="shared" si="5"/>
        <v>13254598</v>
      </c>
      <c r="AA7" s="309">
        <f t="shared" si="5"/>
        <v>13254598</v>
      </c>
      <c r="AB7" s="300">
        <f t="shared" si="5"/>
        <v>13337038</v>
      </c>
      <c r="AC7" s="301">
        <f t="shared" si="5"/>
        <v>13419539</v>
      </c>
      <c r="AD7" s="301">
        <f t="shared" si="5"/>
        <v>13530164</v>
      </c>
      <c r="AE7" s="301">
        <f t="shared" si="5"/>
        <v>13685044</v>
      </c>
      <c r="AF7" s="309">
        <f t="shared" si="5"/>
        <v>13685044</v>
      </c>
      <c r="AG7" s="301">
        <f t="shared" si="5"/>
        <v>13796153</v>
      </c>
      <c r="AH7" s="301">
        <v>13929804</v>
      </c>
      <c r="AI7" s="301">
        <v>14057045</v>
      </c>
      <c r="AJ7" s="301">
        <f t="shared" si="5"/>
        <v>14259264</v>
      </c>
      <c r="AK7" s="309">
        <f>AK8+AK10+AK11</f>
        <v>14259264</v>
      </c>
      <c r="AL7" s="301">
        <f>SUM(AL8,AL10:AL11)</f>
        <v>14330995</v>
      </c>
      <c r="AM7" s="301">
        <f t="shared" ref="AM7:AP7" si="6">SUM(AM8,AM10:AM11)</f>
        <v>14451610</v>
      </c>
      <c r="AN7" s="301">
        <f t="shared" si="6"/>
        <v>14587869</v>
      </c>
      <c r="AO7" s="301">
        <f t="shared" si="6"/>
        <v>14728758</v>
      </c>
      <c r="AP7" s="309">
        <f t="shared" si="6"/>
        <v>14728758</v>
      </c>
      <c r="AQ7" s="301">
        <f>SUM(AQ8,AQ10:AQ11)</f>
        <v>14796975</v>
      </c>
      <c r="AR7" s="301">
        <f t="shared" ref="AR7:AT7" si="7">SUM(AR8,AR10:AR11)</f>
        <v>14979496</v>
      </c>
      <c r="AS7" s="301">
        <f t="shared" si="7"/>
        <v>15168916</v>
      </c>
      <c r="AT7" s="301">
        <f t="shared" si="7"/>
        <v>15371888</v>
      </c>
      <c r="AU7" s="309">
        <f>SUM(AU8,AU10:AU11)</f>
        <v>15371888</v>
      </c>
      <c r="AV7" s="301">
        <f>SUM(AV8,AV10:AV11)</f>
        <v>15358097</v>
      </c>
      <c r="AW7" s="301">
        <f t="shared" ref="AW7:AZ7" si="8">SUM(AW8,AW10:AW11)</f>
        <v>15426731</v>
      </c>
      <c r="AX7" s="301">
        <f t="shared" si="8"/>
        <v>15490364</v>
      </c>
      <c r="AY7" s="301">
        <f t="shared" si="8"/>
        <v>0</v>
      </c>
      <c r="AZ7" s="309">
        <f t="shared" si="8"/>
        <v>15490364</v>
      </c>
      <c r="BA7" s="266"/>
    </row>
    <row r="8" spans="1:53" ht="20.149999999999999" customHeight="1">
      <c r="A8" s="267" t="s">
        <v>740</v>
      </c>
      <c r="B8" s="267" t="s">
        <v>741</v>
      </c>
      <c r="C8" s="265">
        <v>3885022</v>
      </c>
      <c r="D8" s="79">
        <v>3868733</v>
      </c>
      <c r="E8" s="79">
        <v>3921673</v>
      </c>
      <c r="F8" s="79">
        <v>3994875</v>
      </c>
      <c r="G8" s="308">
        <f>F8</f>
        <v>3994875</v>
      </c>
      <c r="H8" s="265">
        <v>4047592</v>
      </c>
      <c r="I8" s="79">
        <v>4127560</v>
      </c>
      <c r="J8" s="79">
        <v>4160343</v>
      </c>
      <c r="K8" s="79">
        <v>4212323</v>
      </c>
      <c r="L8" s="308">
        <f>K8</f>
        <v>4212323</v>
      </c>
      <c r="M8" s="265">
        <v>4236986</v>
      </c>
      <c r="N8" s="79">
        <v>4255544</v>
      </c>
      <c r="O8" s="268">
        <v>4344773</v>
      </c>
      <c r="P8" s="79">
        <v>4391702</v>
      </c>
      <c r="Q8" s="308">
        <v>4391702</v>
      </c>
      <c r="R8" s="265">
        <v>4405464</v>
      </c>
      <c r="S8" s="79">
        <v>4374517</v>
      </c>
      <c r="T8" s="79">
        <v>4396361</v>
      </c>
      <c r="U8" s="79">
        <v>4503320</v>
      </c>
      <c r="V8" s="308">
        <f t="shared" ref="V8:V12" si="9">U8</f>
        <v>4503320</v>
      </c>
      <c r="W8" s="265">
        <v>4560267</v>
      </c>
      <c r="X8" s="79">
        <v>4632246</v>
      </c>
      <c r="Y8" s="79">
        <v>4679114</v>
      </c>
      <c r="Z8" s="79">
        <v>4766429</v>
      </c>
      <c r="AA8" s="308">
        <f t="shared" ref="AA8:AA12" si="10">Z8</f>
        <v>4766429</v>
      </c>
      <c r="AB8" s="265">
        <v>4785947</v>
      </c>
      <c r="AC8" s="79">
        <v>4835534</v>
      </c>
      <c r="AD8" s="79">
        <v>4882505</v>
      </c>
      <c r="AE8" s="79">
        <v>4942640</v>
      </c>
      <c r="AF8" s="308">
        <f t="shared" ref="AF8:AF12" si="11">AE8</f>
        <v>4942640</v>
      </c>
      <c r="AG8" s="79">
        <v>4984391</v>
      </c>
      <c r="AH8" s="79">
        <v>5027520</v>
      </c>
      <c r="AI8" s="79">
        <v>5038210</v>
      </c>
      <c r="AJ8" s="79">
        <v>5098917</v>
      </c>
      <c r="AK8" s="308">
        <v>5098917</v>
      </c>
      <c r="AL8" s="79">
        <v>5077221</v>
      </c>
      <c r="AM8" s="79">
        <v>5058740</v>
      </c>
      <c r="AN8" s="79">
        <v>5033398</v>
      </c>
      <c r="AO8" s="79">
        <v>5038448</v>
      </c>
      <c r="AP8" s="308">
        <f>AO8</f>
        <v>5038448</v>
      </c>
      <c r="AQ8" s="79">
        <v>4992356</v>
      </c>
      <c r="AR8" s="79">
        <v>5000734</v>
      </c>
      <c r="AS8" s="79">
        <v>5010376</v>
      </c>
      <c r="AT8" s="79">
        <v>5010358</v>
      </c>
      <c r="AU8" s="308">
        <f>AT8</f>
        <v>5010358</v>
      </c>
      <c r="AV8" s="79">
        <v>4985621</v>
      </c>
      <c r="AW8" s="79">
        <v>4961196</v>
      </c>
      <c r="AX8" s="79">
        <v>4922037</v>
      </c>
      <c r="AY8" s="78"/>
      <c r="AZ8" s="308">
        <f>AX8</f>
        <v>4922037</v>
      </c>
      <c r="BA8" s="266"/>
    </row>
    <row r="9" spans="1:53" ht="20.149999999999999" customHeight="1">
      <c r="A9" s="269" t="s">
        <v>742</v>
      </c>
      <c r="B9" s="269" t="s">
        <v>742</v>
      </c>
      <c r="C9" s="270">
        <v>394001</v>
      </c>
      <c r="D9" s="88">
        <v>416027</v>
      </c>
      <c r="E9" s="88">
        <v>470578</v>
      </c>
      <c r="F9" s="88">
        <v>510617</v>
      </c>
      <c r="G9" s="329">
        <f t="shared" ref="G9:G11" si="12">F9</f>
        <v>510617</v>
      </c>
      <c r="H9" s="270">
        <v>559997</v>
      </c>
      <c r="I9" s="88">
        <v>633475</v>
      </c>
      <c r="J9" s="88">
        <v>680316</v>
      </c>
      <c r="K9" s="88">
        <v>719935</v>
      </c>
      <c r="L9" s="329">
        <f>K9</f>
        <v>719935</v>
      </c>
      <c r="M9" s="270">
        <v>749319</v>
      </c>
      <c r="N9" s="88">
        <v>771481</v>
      </c>
      <c r="O9" s="271">
        <v>806064</v>
      </c>
      <c r="P9" s="88">
        <v>844809</v>
      </c>
      <c r="Q9" s="329">
        <v>844809</v>
      </c>
      <c r="R9" s="270">
        <v>872628</v>
      </c>
      <c r="S9" s="88">
        <v>886305</v>
      </c>
      <c r="T9" s="88">
        <v>901271</v>
      </c>
      <c r="U9" s="88">
        <v>936307</v>
      </c>
      <c r="V9" s="329">
        <f t="shared" si="9"/>
        <v>936307</v>
      </c>
      <c r="W9" s="270">
        <v>957952</v>
      </c>
      <c r="X9" s="88">
        <v>972771</v>
      </c>
      <c r="Y9" s="88">
        <v>982068</v>
      </c>
      <c r="Z9" s="88">
        <v>1021720</v>
      </c>
      <c r="AA9" s="329">
        <f t="shared" si="10"/>
        <v>1021720</v>
      </c>
      <c r="AB9" s="270">
        <v>1031294</v>
      </c>
      <c r="AC9" s="88">
        <v>1058982</v>
      </c>
      <c r="AD9" s="88">
        <v>1072513</v>
      </c>
      <c r="AE9" s="88">
        <v>1099582</v>
      </c>
      <c r="AF9" s="329">
        <f t="shared" si="11"/>
        <v>1099582</v>
      </c>
      <c r="AG9" s="88">
        <v>1114833</v>
      </c>
      <c r="AH9" s="88">
        <v>1127285</v>
      </c>
      <c r="AI9" s="88">
        <v>1141820</v>
      </c>
      <c r="AJ9" s="88">
        <v>1160353</v>
      </c>
      <c r="AK9" s="329">
        <v>1160353</v>
      </c>
      <c r="AL9" s="88">
        <v>1167983</v>
      </c>
      <c r="AM9" s="88">
        <v>1173866</v>
      </c>
      <c r="AN9" s="88">
        <v>1180891</v>
      </c>
      <c r="AO9" s="88">
        <v>1192984</v>
      </c>
      <c r="AP9" s="329">
        <f t="shared" ref="AP9:AP12" si="13">AO9</f>
        <v>1192984</v>
      </c>
      <c r="AQ9" s="88">
        <v>1187199</v>
      </c>
      <c r="AR9" s="88">
        <v>1197486</v>
      </c>
      <c r="AS9" s="88">
        <v>1200561</v>
      </c>
      <c r="AT9" s="88">
        <v>1208676</v>
      </c>
      <c r="AU9" s="329">
        <f>AT9</f>
        <v>1208676</v>
      </c>
      <c r="AV9" s="88">
        <v>1206068</v>
      </c>
      <c r="AW9" s="88">
        <v>1202991</v>
      </c>
      <c r="AX9" s="88">
        <v>1198803</v>
      </c>
      <c r="AY9" s="88"/>
      <c r="AZ9" s="329">
        <f t="shared" ref="AZ9:AZ11" si="14">AX9</f>
        <v>1198803</v>
      </c>
      <c r="BA9" s="266"/>
    </row>
    <row r="10" spans="1:53" ht="20.149999999999999" customHeight="1">
      <c r="A10" s="267" t="s">
        <v>627</v>
      </c>
      <c r="B10" s="267" t="s">
        <v>628</v>
      </c>
      <c r="C10" s="265">
        <v>6985015</v>
      </c>
      <c r="D10" s="79">
        <v>6978192</v>
      </c>
      <c r="E10" s="79">
        <v>6976594</v>
      </c>
      <c r="F10" s="79">
        <v>6979590</v>
      </c>
      <c r="G10" s="308">
        <f t="shared" si="12"/>
        <v>6979590</v>
      </c>
      <c r="H10" s="265">
        <v>6941638</v>
      </c>
      <c r="I10" s="79">
        <v>6891314</v>
      </c>
      <c r="J10" s="79">
        <v>6834719</v>
      </c>
      <c r="K10" s="79">
        <v>6778675</v>
      </c>
      <c r="L10" s="308">
        <f t="shared" ref="L10:L11" si="15">K10</f>
        <v>6778675</v>
      </c>
      <c r="M10" s="265">
        <v>6713629</v>
      </c>
      <c r="N10" s="79">
        <v>6644687</v>
      </c>
      <c r="O10" s="268">
        <v>6617382</v>
      </c>
      <c r="P10" s="79">
        <v>6587915</v>
      </c>
      <c r="Q10" s="308">
        <v>6587915</v>
      </c>
      <c r="R10" s="265">
        <v>6552365</v>
      </c>
      <c r="S10" s="79">
        <v>6519311</v>
      </c>
      <c r="T10" s="79">
        <v>6505016</v>
      </c>
      <c r="U10" s="79">
        <v>6516643</v>
      </c>
      <c r="V10" s="308">
        <f t="shared" si="9"/>
        <v>6516643</v>
      </c>
      <c r="W10" s="265">
        <v>6536366</v>
      </c>
      <c r="X10" s="79">
        <v>6559223</v>
      </c>
      <c r="Y10" s="79">
        <v>6616579</v>
      </c>
      <c r="Z10" s="79">
        <v>6730427</v>
      </c>
      <c r="AA10" s="308">
        <f t="shared" si="10"/>
        <v>6730427</v>
      </c>
      <c r="AB10" s="265">
        <v>6785002</v>
      </c>
      <c r="AC10" s="79">
        <v>6810999</v>
      </c>
      <c r="AD10" s="79">
        <v>6864787</v>
      </c>
      <c r="AE10" s="79">
        <v>6932676</v>
      </c>
      <c r="AF10" s="308">
        <f t="shared" si="11"/>
        <v>6932676</v>
      </c>
      <c r="AG10" s="79">
        <v>6997850</v>
      </c>
      <c r="AH10" s="79">
        <v>7098239</v>
      </c>
      <c r="AI10" s="79">
        <v>7209240</v>
      </c>
      <c r="AJ10" s="79">
        <v>7345213</v>
      </c>
      <c r="AK10" s="308">
        <v>7345213</v>
      </c>
      <c r="AL10" s="79">
        <v>7452479</v>
      </c>
      <c r="AM10" s="79">
        <v>7597611</v>
      </c>
      <c r="AN10" s="79">
        <v>7752113</v>
      </c>
      <c r="AO10" s="79">
        <v>7894581</v>
      </c>
      <c r="AP10" s="308">
        <f t="shared" si="13"/>
        <v>7894581</v>
      </c>
      <c r="AQ10" s="79">
        <v>8016501</v>
      </c>
      <c r="AR10" s="79">
        <v>8188807</v>
      </c>
      <c r="AS10" s="79">
        <v>8366901.0000000009</v>
      </c>
      <c r="AT10" s="79">
        <v>8534841</v>
      </c>
      <c r="AU10" s="308">
        <f>AT10</f>
        <v>8534841</v>
      </c>
      <c r="AV10" s="79">
        <v>8551871</v>
      </c>
      <c r="AW10" s="79">
        <v>8649761</v>
      </c>
      <c r="AX10" s="79">
        <v>8781111</v>
      </c>
      <c r="AY10" s="79"/>
      <c r="AZ10" s="308">
        <f t="shared" si="14"/>
        <v>8781111</v>
      </c>
      <c r="BA10" s="266"/>
    </row>
    <row r="11" spans="1:53" ht="20.149999999999999" customHeight="1" thickBot="1">
      <c r="A11" s="267" t="s">
        <v>630</v>
      </c>
      <c r="B11" s="267" t="s">
        <v>630</v>
      </c>
      <c r="C11" s="265">
        <v>662510</v>
      </c>
      <c r="D11" s="79">
        <v>669908</v>
      </c>
      <c r="E11" s="79">
        <v>706832</v>
      </c>
      <c r="F11" s="79">
        <v>760635</v>
      </c>
      <c r="G11" s="308">
        <f t="shared" si="12"/>
        <v>760635</v>
      </c>
      <c r="H11" s="265">
        <v>810721</v>
      </c>
      <c r="I11" s="79">
        <v>850073</v>
      </c>
      <c r="J11" s="79">
        <v>913360</v>
      </c>
      <c r="K11" s="79">
        <v>987809</v>
      </c>
      <c r="L11" s="308">
        <f t="shared" si="15"/>
        <v>987809</v>
      </c>
      <c r="M11" s="272">
        <v>1032063</v>
      </c>
      <c r="N11" s="80">
        <v>1123138</v>
      </c>
      <c r="O11" s="268">
        <v>1268643</v>
      </c>
      <c r="P11" s="1">
        <v>1368211</v>
      </c>
      <c r="Q11" s="308">
        <v>1368211</v>
      </c>
      <c r="R11" s="272">
        <v>1436883</v>
      </c>
      <c r="S11" s="80">
        <v>1483193</v>
      </c>
      <c r="T11" s="80">
        <v>1517330</v>
      </c>
      <c r="U11" s="79">
        <v>1594740</v>
      </c>
      <c r="V11" s="308">
        <f t="shared" si="9"/>
        <v>1594740</v>
      </c>
      <c r="W11" s="272">
        <v>1647533</v>
      </c>
      <c r="X11" s="80">
        <v>1689256</v>
      </c>
      <c r="Y11" s="80">
        <v>1722056</v>
      </c>
      <c r="Z11" s="79">
        <v>1757742</v>
      </c>
      <c r="AA11" s="308">
        <f t="shared" si="10"/>
        <v>1757742</v>
      </c>
      <c r="AB11" s="272">
        <v>1766089</v>
      </c>
      <c r="AC11" s="80">
        <v>1773006</v>
      </c>
      <c r="AD11" s="80">
        <v>1782872</v>
      </c>
      <c r="AE11" s="80">
        <v>1809728</v>
      </c>
      <c r="AF11" s="308">
        <f t="shared" si="11"/>
        <v>1809728</v>
      </c>
      <c r="AG11" s="80">
        <v>1813912</v>
      </c>
      <c r="AH11" s="80">
        <v>1804045</v>
      </c>
      <c r="AI11" s="80">
        <v>1809595</v>
      </c>
      <c r="AJ11" s="80">
        <v>1815134</v>
      </c>
      <c r="AK11" s="308">
        <v>1815134</v>
      </c>
      <c r="AL11" s="80">
        <v>1801295</v>
      </c>
      <c r="AM11" s="80">
        <v>1795259</v>
      </c>
      <c r="AN11" s="80">
        <v>1802358</v>
      </c>
      <c r="AO11" s="80">
        <v>1795729</v>
      </c>
      <c r="AP11" s="308">
        <f t="shared" si="13"/>
        <v>1795729</v>
      </c>
      <c r="AQ11" s="80">
        <v>1788118</v>
      </c>
      <c r="AR11" s="80">
        <v>1789955</v>
      </c>
      <c r="AS11" s="80">
        <v>1791639</v>
      </c>
      <c r="AT11" s="80">
        <v>1826689</v>
      </c>
      <c r="AU11" s="308">
        <f>AT11</f>
        <v>1826689</v>
      </c>
      <c r="AV11" s="80">
        <v>1820605</v>
      </c>
      <c r="AW11" s="80">
        <v>1815774</v>
      </c>
      <c r="AX11" s="79">
        <v>1787216</v>
      </c>
      <c r="AY11" s="80"/>
      <c r="AZ11" s="308">
        <f t="shared" si="14"/>
        <v>1787216</v>
      </c>
      <c r="BA11" s="266"/>
    </row>
    <row r="12" spans="1:53" ht="20.149999999999999" customHeight="1" thickBot="1">
      <c r="A12" s="197" t="s">
        <v>743</v>
      </c>
      <c r="B12" s="197" t="s">
        <v>744</v>
      </c>
      <c r="C12" s="293">
        <v>6282300</v>
      </c>
      <c r="D12" s="294">
        <v>6264412</v>
      </c>
      <c r="E12" s="294">
        <v>6281184</v>
      </c>
      <c r="F12" s="294">
        <v>6313423</v>
      </c>
      <c r="G12" s="295">
        <f>F12</f>
        <v>6313423</v>
      </c>
      <c r="H12" s="293">
        <v>6318321</v>
      </c>
      <c r="I12" s="294">
        <v>6306877</v>
      </c>
      <c r="J12" s="294">
        <v>6285607</v>
      </c>
      <c r="K12" s="294">
        <v>6287658</v>
      </c>
      <c r="L12" s="295">
        <f>K12</f>
        <v>6287658</v>
      </c>
      <c r="M12" s="293">
        <v>6260662</v>
      </c>
      <c r="N12" s="294">
        <v>6221111</v>
      </c>
      <c r="O12" s="294">
        <v>6184775</v>
      </c>
      <c r="P12" s="294">
        <v>6137531</v>
      </c>
      <c r="Q12" s="295">
        <v>6137531</v>
      </c>
      <c r="R12" s="293">
        <v>6068839</v>
      </c>
      <c r="S12" s="294">
        <v>5990051</v>
      </c>
      <c r="T12" s="294">
        <v>5937768</v>
      </c>
      <c r="U12" s="294">
        <v>5916103</v>
      </c>
      <c r="V12" s="295">
        <f t="shared" si="9"/>
        <v>5916103</v>
      </c>
      <c r="W12" s="293">
        <v>5893225</v>
      </c>
      <c r="X12" s="294">
        <v>5862310</v>
      </c>
      <c r="Y12" s="294">
        <v>5860884</v>
      </c>
      <c r="Z12" s="294">
        <v>5882804</v>
      </c>
      <c r="AA12" s="295">
        <f t="shared" si="10"/>
        <v>5882804</v>
      </c>
      <c r="AB12" s="293">
        <v>5847401</v>
      </c>
      <c r="AC12" s="294">
        <v>5819386</v>
      </c>
      <c r="AD12" s="294">
        <v>5791841</v>
      </c>
      <c r="AE12" s="294">
        <v>5776598</v>
      </c>
      <c r="AF12" s="295">
        <f t="shared" si="11"/>
        <v>5776598</v>
      </c>
      <c r="AG12" s="293">
        <v>5743832</v>
      </c>
      <c r="AH12" s="294">
        <v>5724492</v>
      </c>
      <c r="AI12" s="294">
        <v>5712151</v>
      </c>
      <c r="AJ12" s="294">
        <v>5706147</v>
      </c>
      <c r="AK12" s="295">
        <v>5706147</v>
      </c>
      <c r="AL12" s="293">
        <v>5672790</v>
      </c>
      <c r="AM12" s="294">
        <v>5652912</v>
      </c>
      <c r="AN12" s="294">
        <v>5644291</v>
      </c>
      <c r="AO12" s="294">
        <v>5637734</v>
      </c>
      <c r="AP12" s="295">
        <f t="shared" si="13"/>
        <v>5637734</v>
      </c>
      <c r="AQ12" s="293">
        <v>5601300</v>
      </c>
      <c r="AR12" s="294">
        <v>5587104</v>
      </c>
      <c r="AS12" s="294">
        <v>5569734</v>
      </c>
      <c r="AT12" s="294">
        <v>5548417</v>
      </c>
      <c r="AU12" s="295">
        <f>AT12</f>
        <v>5548417</v>
      </c>
      <c r="AV12" s="293">
        <v>5504797</v>
      </c>
      <c r="AW12" s="294">
        <v>5472855</v>
      </c>
      <c r="AX12" s="294">
        <v>5446111</v>
      </c>
      <c r="AY12" s="294"/>
      <c r="AZ12" s="295">
        <f>AX12</f>
        <v>5446111</v>
      </c>
      <c r="BA12" s="266"/>
    </row>
    <row r="13" spans="1:53" s="307" customFormat="1" ht="20.149999999999999" customHeight="1" thickBot="1">
      <c r="A13" s="305" t="s">
        <v>745</v>
      </c>
      <c r="B13" s="306" t="s">
        <v>746</v>
      </c>
      <c r="C13" s="303"/>
      <c r="D13" s="304"/>
      <c r="E13" s="304"/>
      <c r="F13" s="304"/>
      <c r="G13" s="302"/>
      <c r="H13" s="303"/>
      <c r="I13" s="304"/>
      <c r="J13" s="304"/>
      <c r="K13" s="304"/>
      <c r="L13" s="302"/>
      <c r="M13" s="303"/>
      <c r="N13" s="304"/>
      <c r="O13" s="304"/>
      <c r="P13" s="304"/>
      <c r="Q13" s="302"/>
      <c r="R13" s="303"/>
      <c r="S13" s="304"/>
      <c r="T13" s="304"/>
      <c r="U13" s="304"/>
      <c r="V13" s="302"/>
      <c r="W13" s="303"/>
      <c r="X13" s="304"/>
      <c r="Y13" s="304"/>
      <c r="Z13" s="304"/>
      <c r="AA13" s="302"/>
      <c r="AB13" s="303">
        <v>80.3</v>
      </c>
      <c r="AC13" s="304">
        <v>81.2</v>
      </c>
      <c r="AD13" s="304">
        <v>80.5</v>
      </c>
      <c r="AE13" s="304">
        <v>81.900000000000006</v>
      </c>
      <c r="AF13" s="302"/>
      <c r="AG13" s="304">
        <v>81.900000000000006</v>
      </c>
      <c r="AH13" s="304">
        <v>82.9</v>
      </c>
      <c r="AI13" s="304">
        <v>84</v>
      </c>
      <c r="AJ13" s="304">
        <v>84</v>
      </c>
      <c r="AK13" s="302">
        <v>83.2</v>
      </c>
      <c r="AL13" s="304">
        <v>82.9</v>
      </c>
      <c r="AM13" s="304">
        <v>83.4</v>
      </c>
      <c r="AN13" s="304">
        <v>84.8</v>
      </c>
      <c r="AO13" s="304">
        <v>85.6</v>
      </c>
      <c r="AP13" s="302">
        <v>84.2</v>
      </c>
      <c r="AQ13" s="304">
        <v>85.4</v>
      </c>
      <c r="AR13" s="304">
        <v>86.5</v>
      </c>
      <c r="AS13" s="304">
        <v>86.9</v>
      </c>
      <c r="AT13" s="304">
        <v>89.9</v>
      </c>
      <c r="AU13" s="302">
        <v>87.2</v>
      </c>
      <c r="AV13" s="304">
        <v>90.5</v>
      </c>
      <c r="AW13" s="304">
        <v>91.427769176968681</v>
      </c>
      <c r="AX13" s="304">
        <v>90.3</v>
      </c>
      <c r="AY13" s="304"/>
      <c r="AZ13" s="302">
        <v>90.737123963303631</v>
      </c>
    </row>
    <row r="14" spans="1:53" ht="20.149999999999999" hidden="1" customHeight="1" outlineLevel="1">
      <c r="A14" s="274" t="s">
        <v>747</v>
      </c>
      <c r="B14" s="274" t="s">
        <v>748</v>
      </c>
      <c r="C14" s="275">
        <v>92.5</v>
      </c>
      <c r="D14" s="89">
        <v>94.4</v>
      </c>
      <c r="E14" s="89">
        <v>93.8</v>
      </c>
      <c r="F14" s="89">
        <v>93.8</v>
      </c>
      <c r="G14" s="292">
        <v>93.6</v>
      </c>
      <c r="H14" s="275">
        <v>89.1</v>
      </c>
      <c r="I14" s="89">
        <v>90.3</v>
      </c>
      <c r="J14" s="89">
        <v>87.6</v>
      </c>
      <c r="K14" s="89">
        <v>87.1</v>
      </c>
      <c r="L14" s="292">
        <v>88.5</v>
      </c>
      <c r="M14" s="275">
        <v>84.8</v>
      </c>
      <c r="N14" s="89">
        <v>85.3</v>
      </c>
      <c r="O14" s="273">
        <v>86.5</v>
      </c>
      <c r="P14" s="89">
        <v>87.2</v>
      </c>
      <c r="Q14" s="292">
        <v>85.9</v>
      </c>
      <c r="R14" s="275">
        <v>85.8</v>
      </c>
      <c r="S14" s="89">
        <v>87</v>
      </c>
      <c r="T14" s="89">
        <v>88.1</v>
      </c>
      <c r="U14" s="89">
        <v>88.3</v>
      </c>
      <c r="V14" s="292">
        <v>87.3</v>
      </c>
      <c r="W14" s="275">
        <v>87</v>
      </c>
      <c r="X14" s="89">
        <v>88.4</v>
      </c>
      <c r="Y14" s="89">
        <v>88.6</v>
      </c>
      <c r="Z14" s="89">
        <v>90.7</v>
      </c>
      <c r="AA14" s="292">
        <v>88.7</v>
      </c>
      <c r="AB14" s="275">
        <v>89.1</v>
      </c>
      <c r="AC14" s="89">
        <v>89.6</v>
      </c>
      <c r="AD14" s="89">
        <v>88.4</v>
      </c>
      <c r="AE14" s="89">
        <v>89</v>
      </c>
      <c r="AF14" s="292">
        <v>89</v>
      </c>
      <c r="AG14" s="275">
        <v>88.7</v>
      </c>
      <c r="AH14" s="89">
        <v>89.6</v>
      </c>
      <c r="AI14" s="89">
        <v>90.1</v>
      </c>
      <c r="AJ14" s="89">
        <v>90.5</v>
      </c>
      <c r="AK14" s="292">
        <v>89.7</v>
      </c>
      <c r="AL14" s="275"/>
      <c r="AM14" s="89"/>
      <c r="AN14" s="89"/>
      <c r="AO14" s="89"/>
      <c r="AP14" s="292"/>
      <c r="AQ14" s="275"/>
      <c r="AR14" s="89"/>
      <c r="AS14" s="89"/>
      <c r="AT14" s="89">
        <v>6.4768102002308398E-2</v>
      </c>
      <c r="AU14" s="292"/>
      <c r="AV14" s="275"/>
      <c r="AW14" s="275">
        <v>7.00890484236706E-2</v>
      </c>
      <c r="AX14" s="89">
        <v>7.0767951058226197E-2</v>
      </c>
      <c r="AY14" s="89"/>
      <c r="AZ14" s="292"/>
      <c r="BA14" s="266"/>
    </row>
    <row r="15" spans="1:53" ht="20.149999999999999" customHeight="1" collapsed="1">
      <c r="A15" s="276" t="s">
        <v>749</v>
      </c>
      <c r="B15" s="276" t="s">
        <v>750</v>
      </c>
      <c r="C15" s="265" t="s">
        <v>735</v>
      </c>
      <c r="D15" s="79" t="s">
        <v>735</v>
      </c>
      <c r="E15" s="79" t="s">
        <v>735</v>
      </c>
      <c r="F15" s="81">
        <v>8.4252884188563901E-2</v>
      </c>
      <c r="G15" s="296">
        <f>F15</f>
        <v>8.4252884188563901E-2</v>
      </c>
      <c r="H15" s="277">
        <v>8.6500864834109098E-2</v>
      </c>
      <c r="I15" s="81">
        <v>8.7995678097648605E-2</v>
      </c>
      <c r="J15" s="81">
        <v>8.95665783401738E-2</v>
      </c>
      <c r="K15" s="81">
        <v>9.1612274770678806E-2</v>
      </c>
      <c r="L15" s="296">
        <f>K15</f>
        <v>9.1612274770678806E-2</v>
      </c>
      <c r="M15" s="277">
        <v>9.0641340484564806E-2</v>
      </c>
      <c r="N15" s="81">
        <v>8.7627794752018207E-2</v>
      </c>
      <c r="O15" s="278">
        <f>8.8%</f>
        <v>8.8000000000000009E-2</v>
      </c>
      <c r="P15" s="81">
        <v>9.0976359886998898E-2</v>
      </c>
      <c r="Q15" s="296">
        <v>9.0999999999999998E-2</v>
      </c>
      <c r="R15" s="277">
        <v>9.5000000000000001E-2</v>
      </c>
      <c r="S15" s="81">
        <v>0.10100000000000001</v>
      </c>
      <c r="T15" s="81">
        <v>0.10199999999999999</v>
      </c>
      <c r="U15" s="81">
        <v>0.1</v>
      </c>
      <c r="V15" s="296">
        <v>0.1</v>
      </c>
      <c r="W15" s="277">
        <v>9.8000000000000004E-2</v>
      </c>
      <c r="X15" s="81">
        <v>0.09</v>
      </c>
      <c r="Y15" s="81">
        <v>8.5000000000000006E-2</v>
      </c>
      <c r="Z15" s="81">
        <v>8.3000000000000004E-2</v>
      </c>
      <c r="AA15" s="296">
        <v>8.3000000000000004E-2</v>
      </c>
      <c r="AB15" s="277">
        <v>8.5000000000000006E-2</v>
      </c>
      <c r="AC15" s="81">
        <v>8.5999999999999993E-2</v>
      </c>
      <c r="AD15" s="81">
        <v>8.7999999999999995E-2</v>
      </c>
      <c r="AE15" s="81">
        <v>8.7999999999999995E-2</v>
      </c>
      <c r="AF15" s="296">
        <v>8.7999999999999995E-2</v>
      </c>
      <c r="AG15" s="81">
        <v>8.5000000000000006E-2</v>
      </c>
      <c r="AH15" s="81">
        <v>8.3000000000000004E-2</v>
      </c>
      <c r="AI15" s="81">
        <v>7.9000000000000001E-2</v>
      </c>
      <c r="AJ15" s="81">
        <v>7.5999999999999998E-2</v>
      </c>
      <c r="AK15" s="296">
        <v>7.5999999999999998E-2</v>
      </c>
      <c r="AL15" s="81">
        <v>7.1999999999999995E-2</v>
      </c>
      <c r="AM15" s="81">
        <v>7.0000000000000007E-2</v>
      </c>
      <c r="AN15" s="81">
        <v>6.8000000000000005E-2</v>
      </c>
      <c r="AO15" s="81">
        <v>6.4000000000000001E-2</v>
      </c>
      <c r="AP15" s="296">
        <f>AO15:AO16</f>
        <v>6.4000000000000001E-2</v>
      </c>
      <c r="AQ15" s="81">
        <v>6.6000000000000003E-2</v>
      </c>
      <c r="AR15" s="81">
        <v>6.4000000000000001E-2</v>
      </c>
      <c r="AS15" s="81">
        <v>6.0999999999999999E-2</v>
      </c>
      <c r="AT15" s="81">
        <v>6.5000000000000002E-2</v>
      </c>
      <c r="AU15" s="296">
        <f>AT15</f>
        <v>6.5000000000000002E-2</v>
      </c>
      <c r="AV15" s="81">
        <v>6.7000000000000004E-2</v>
      </c>
      <c r="AW15" s="81">
        <v>7.00890484236706E-2</v>
      </c>
      <c r="AX15" s="81">
        <v>7.0999999999999994E-2</v>
      </c>
      <c r="AY15" s="81"/>
      <c r="AZ15" s="296">
        <f t="shared" ref="AZ15:AZ16" si="16">AX15</f>
        <v>7.0999999999999994E-2</v>
      </c>
      <c r="BA15" s="266"/>
    </row>
    <row r="16" spans="1:53" ht="20.149999999999999" customHeight="1" thickBot="1">
      <c r="A16" s="276" t="s">
        <v>751</v>
      </c>
      <c r="B16" s="276" t="s">
        <v>752</v>
      </c>
      <c r="C16" s="323">
        <f t="shared" ref="C16:N16" si="17">C7/C12</f>
        <v>1.8357205163713926</v>
      </c>
      <c r="D16" s="324">
        <f t="shared" si="17"/>
        <v>1.838453952262399</v>
      </c>
      <c r="E16" s="324">
        <f t="shared" si="17"/>
        <v>1.8475973638091163</v>
      </c>
      <c r="F16" s="324">
        <f t="shared" si="17"/>
        <v>1.858753959619053</v>
      </c>
      <c r="G16" s="297">
        <f t="shared" si="17"/>
        <v>1.858753959619053</v>
      </c>
      <c r="H16" s="323">
        <f t="shared" si="17"/>
        <v>1.8675770034475931</v>
      </c>
      <c r="I16" s="324">
        <f t="shared" si="17"/>
        <v>1.8819055770391591</v>
      </c>
      <c r="J16" s="324">
        <f t="shared" si="17"/>
        <v>1.8945540184106324</v>
      </c>
      <c r="K16" s="324">
        <f t="shared" si="17"/>
        <v>1.9051301772456453</v>
      </c>
      <c r="L16" s="297">
        <f t="shared" si="17"/>
        <v>1.9051301772456453</v>
      </c>
      <c r="M16" s="323">
        <f t="shared" si="17"/>
        <v>1.9139634115369908</v>
      </c>
      <c r="N16" s="324">
        <f t="shared" si="17"/>
        <v>1.9326723152825918</v>
      </c>
      <c r="O16" s="325">
        <v>1.98</v>
      </c>
      <c r="P16" s="324">
        <v>2.0099999999999998</v>
      </c>
      <c r="Q16" s="297">
        <v>2.0099999999999998</v>
      </c>
      <c r="R16" s="323">
        <f>R7/R12</f>
        <v>2.0423530760990696</v>
      </c>
      <c r="S16" s="324">
        <v>2.0699999999999998</v>
      </c>
      <c r="T16" s="324">
        <v>2.09</v>
      </c>
      <c r="U16" s="324">
        <v>2.13</v>
      </c>
      <c r="V16" s="297">
        <v>2.13</v>
      </c>
      <c r="W16" s="323">
        <v>2.16</v>
      </c>
      <c r="X16" s="324">
        <v>2.2000000000000002</v>
      </c>
      <c r="Y16" s="324">
        <v>2.2200000000000002</v>
      </c>
      <c r="Z16" s="324">
        <v>2.25</v>
      </c>
      <c r="AA16" s="297">
        <f>Z16</f>
        <v>2.25</v>
      </c>
      <c r="AB16" s="323">
        <v>2.2799999999999998</v>
      </c>
      <c r="AC16" s="324">
        <v>2.31</v>
      </c>
      <c r="AD16" s="324">
        <v>2.34</v>
      </c>
      <c r="AE16" s="324">
        <v>2.37</v>
      </c>
      <c r="AF16" s="297">
        <v>2.37</v>
      </c>
      <c r="AG16" s="324">
        <v>2.4</v>
      </c>
      <c r="AH16" s="324">
        <v>2.4300000000000002</v>
      </c>
      <c r="AI16" s="324">
        <v>2.46</v>
      </c>
      <c r="AJ16" s="324">
        <v>2.5</v>
      </c>
      <c r="AK16" s="297">
        <v>2.5</v>
      </c>
      <c r="AL16" s="324">
        <v>2.5299999999999998</v>
      </c>
      <c r="AM16" s="324">
        <v>2.56</v>
      </c>
      <c r="AN16" s="324">
        <v>2.58</v>
      </c>
      <c r="AO16" s="324">
        <v>2.61</v>
      </c>
      <c r="AP16" s="297">
        <f>AO16</f>
        <v>2.61</v>
      </c>
      <c r="AQ16" s="324">
        <v>2.64</v>
      </c>
      <c r="AR16" s="324">
        <v>2.68</v>
      </c>
      <c r="AS16" s="324">
        <v>2.72</v>
      </c>
      <c r="AT16" s="324">
        <v>2.77</v>
      </c>
      <c r="AU16" s="297">
        <f>AT16</f>
        <v>2.77</v>
      </c>
      <c r="AV16" s="324">
        <v>2.79</v>
      </c>
      <c r="AW16" s="324">
        <v>2.8187721034085502</v>
      </c>
      <c r="AX16" s="324">
        <v>2.84</v>
      </c>
      <c r="AY16" s="324"/>
      <c r="AZ16" s="297">
        <f t="shared" si="16"/>
        <v>2.84</v>
      </c>
      <c r="BA16" s="266"/>
    </row>
    <row r="17" spans="1:53" ht="20.149999999999999" customHeight="1" thickBot="1">
      <c r="A17" s="298" t="s">
        <v>753</v>
      </c>
      <c r="B17" s="299" t="s">
        <v>754</v>
      </c>
      <c r="C17" s="326">
        <f>C18+C20+C21</f>
        <v>11497022</v>
      </c>
      <c r="D17" s="327">
        <f t="shared" ref="D17:N17" si="18">D18+D20+D21</f>
        <v>11521707</v>
      </c>
      <c r="E17" s="327">
        <f t="shared" si="18"/>
        <v>11558288</v>
      </c>
      <c r="F17" s="327">
        <f t="shared" si="18"/>
        <v>11659474</v>
      </c>
      <c r="G17" s="328">
        <f t="shared" si="18"/>
        <v>11559122.75</v>
      </c>
      <c r="H17" s="326">
        <f t="shared" si="18"/>
        <v>11772318</v>
      </c>
      <c r="I17" s="327">
        <f t="shared" si="18"/>
        <v>11846507</v>
      </c>
      <c r="J17" s="327">
        <f t="shared" si="18"/>
        <v>11884574</v>
      </c>
      <c r="K17" s="327">
        <f t="shared" si="18"/>
        <v>11924710</v>
      </c>
      <c r="L17" s="328">
        <f t="shared" si="18"/>
        <v>11857027.25</v>
      </c>
      <c r="M17" s="326">
        <f t="shared" si="18"/>
        <v>11986199</v>
      </c>
      <c r="N17" s="327">
        <f t="shared" si="18"/>
        <v>11981389</v>
      </c>
      <c r="O17" s="327">
        <f>O18+O20+O21</f>
        <v>12125363</v>
      </c>
      <c r="P17" s="327">
        <f>P18+P20+P21</f>
        <v>12272311</v>
      </c>
      <c r="Q17" s="328">
        <f>Q18+Q20+Q21</f>
        <v>12091316</v>
      </c>
      <c r="R17" s="326">
        <f t="shared" ref="R17:AJ17" si="19">R18+R20+R21</f>
        <v>12376603</v>
      </c>
      <c r="S17" s="327">
        <f t="shared" si="19"/>
        <v>12391326</v>
      </c>
      <c r="T17" s="327">
        <f t="shared" si="19"/>
        <v>12378586</v>
      </c>
      <c r="U17" s="327">
        <f t="shared" si="19"/>
        <v>12496080</v>
      </c>
      <c r="V17" s="328">
        <f t="shared" si="19"/>
        <v>12410649</v>
      </c>
      <c r="W17" s="326">
        <f t="shared" si="19"/>
        <v>12675864</v>
      </c>
      <c r="X17" s="327">
        <f t="shared" si="19"/>
        <v>12809438</v>
      </c>
      <c r="Y17" s="327">
        <f t="shared" si="19"/>
        <v>12940680</v>
      </c>
      <c r="Z17" s="327">
        <f t="shared" si="19"/>
        <v>13119033</v>
      </c>
      <c r="AA17" s="328">
        <f t="shared" si="19"/>
        <v>12886254</v>
      </c>
      <c r="AB17" s="326">
        <f t="shared" si="19"/>
        <v>13313971</v>
      </c>
      <c r="AC17" s="327">
        <f t="shared" si="19"/>
        <v>13379081</v>
      </c>
      <c r="AD17" s="327">
        <f t="shared" si="19"/>
        <v>13467835</v>
      </c>
      <c r="AE17" s="327">
        <f t="shared" si="19"/>
        <v>13596202</v>
      </c>
      <c r="AF17" s="328">
        <f t="shared" si="19"/>
        <v>13439272</v>
      </c>
      <c r="AG17" s="327">
        <f t="shared" si="19"/>
        <v>13741811</v>
      </c>
      <c r="AH17" s="327">
        <f t="shared" si="19"/>
        <v>13858205</v>
      </c>
      <c r="AI17" s="327">
        <f t="shared" si="19"/>
        <v>13995952</v>
      </c>
      <c r="AJ17" s="327">
        <f t="shared" si="19"/>
        <v>14159632</v>
      </c>
      <c r="AK17" s="328">
        <f>AK18+AK20+AK21</f>
        <v>13938900</v>
      </c>
      <c r="AL17" s="327">
        <f>AL18+AL20+AL21</f>
        <v>14283823</v>
      </c>
      <c r="AM17" s="327">
        <f t="shared" ref="AM17:AP17" si="20">AM18+AM20+AM21</f>
        <v>14381445</v>
      </c>
      <c r="AN17" s="327">
        <f t="shared" si="20"/>
        <v>14515058</v>
      </c>
      <c r="AO17" s="327">
        <f t="shared" si="20"/>
        <v>14660255</v>
      </c>
      <c r="AP17" s="331">
        <f t="shared" si="20"/>
        <v>14460145</v>
      </c>
      <c r="AQ17" s="327">
        <f>AQ18+AQ20+AQ21</f>
        <v>14774076</v>
      </c>
      <c r="AR17" s="327">
        <f t="shared" ref="AR17:AU17" si="21">AR18+AR20+AR21</f>
        <v>14867672</v>
      </c>
      <c r="AS17" s="327">
        <f t="shared" si="21"/>
        <v>15080830</v>
      </c>
      <c r="AT17" s="327">
        <f t="shared" si="21"/>
        <v>15265725</v>
      </c>
      <c r="AU17" s="331">
        <f t="shared" si="21"/>
        <v>14997076</v>
      </c>
      <c r="AV17" s="327">
        <f>AV18+AV20+AV21</f>
        <v>15350346</v>
      </c>
      <c r="AW17" s="327">
        <f t="shared" ref="AW17:AZ17" si="22">AW18+AW20+AW21</f>
        <v>15390843.999999998</v>
      </c>
      <c r="AX17" s="327">
        <f t="shared" si="22"/>
        <v>15454487</v>
      </c>
      <c r="AY17" s="327">
        <f t="shared" si="22"/>
        <v>0</v>
      </c>
      <c r="AZ17" s="331">
        <f t="shared" si="22"/>
        <v>15398559.11111111</v>
      </c>
      <c r="BA17" s="266"/>
    </row>
    <row r="18" spans="1:53" ht="20.149999999999999" customHeight="1">
      <c r="A18" s="267" t="s">
        <v>740</v>
      </c>
      <c r="B18" s="267" t="s">
        <v>741</v>
      </c>
      <c r="C18" s="265">
        <v>3858338</v>
      </c>
      <c r="D18" s="79">
        <v>3879834</v>
      </c>
      <c r="E18" s="79">
        <v>3894623</v>
      </c>
      <c r="F18" s="79">
        <v>3955082</v>
      </c>
      <c r="G18" s="308">
        <f>AVERAGE(C18:F18)</f>
        <v>3896969.25</v>
      </c>
      <c r="H18" s="265">
        <v>4018307</v>
      </c>
      <c r="I18" s="79">
        <v>4098051</v>
      </c>
      <c r="J18" s="79">
        <v>4144131</v>
      </c>
      <c r="K18" s="79">
        <v>4175145</v>
      </c>
      <c r="L18" s="308">
        <f>AVERAGE(H18:K18)</f>
        <v>4108908.5</v>
      </c>
      <c r="M18" s="265">
        <v>4227450</v>
      </c>
      <c r="N18" s="79">
        <v>4243880</v>
      </c>
      <c r="O18" s="268">
        <v>4301558</v>
      </c>
      <c r="P18" s="79">
        <v>4361890</v>
      </c>
      <c r="Q18" s="308">
        <v>4283695</v>
      </c>
      <c r="R18" s="265">
        <v>4403541</v>
      </c>
      <c r="S18" s="79">
        <v>4397999</v>
      </c>
      <c r="T18" s="79">
        <v>4376405</v>
      </c>
      <c r="U18" s="79">
        <v>4441918</v>
      </c>
      <c r="V18" s="308">
        <v>4404966</v>
      </c>
      <c r="W18" s="265">
        <v>4532806</v>
      </c>
      <c r="X18" s="79">
        <v>4595313</v>
      </c>
      <c r="Y18" s="79">
        <v>4654591</v>
      </c>
      <c r="Z18" s="79">
        <v>4712813</v>
      </c>
      <c r="AA18" s="308">
        <v>4623881</v>
      </c>
      <c r="AB18" s="265">
        <v>4781680</v>
      </c>
      <c r="AC18" s="79">
        <v>4817543</v>
      </c>
      <c r="AD18" s="79">
        <v>4856979</v>
      </c>
      <c r="AE18" s="79">
        <v>4905839</v>
      </c>
      <c r="AF18" s="308">
        <v>4840510</v>
      </c>
      <c r="AG18" s="79">
        <v>4963830</v>
      </c>
      <c r="AH18" s="79">
        <v>5013604</v>
      </c>
      <c r="AI18" s="79">
        <v>5029344</v>
      </c>
      <c r="AJ18" s="79">
        <v>5070219</v>
      </c>
      <c r="AK18" s="308">
        <v>5019249</v>
      </c>
      <c r="AL18" s="79">
        <v>5090723</v>
      </c>
      <c r="AM18" s="79">
        <v>5066146</v>
      </c>
      <c r="AN18" s="79">
        <v>5036833</v>
      </c>
      <c r="AO18" s="79">
        <v>5039351</v>
      </c>
      <c r="AP18" s="308">
        <v>5058263</v>
      </c>
      <c r="AQ18" s="79">
        <v>5018607</v>
      </c>
      <c r="AR18" s="79">
        <v>4995884</v>
      </c>
      <c r="AS18" s="79">
        <v>5007407</v>
      </c>
      <c r="AT18" s="79">
        <v>5009102</v>
      </c>
      <c r="AU18" s="308">
        <v>5007750</v>
      </c>
      <c r="AV18" s="79">
        <v>4996954</v>
      </c>
      <c r="AW18" s="79">
        <v>4973593.833333333</v>
      </c>
      <c r="AX18" s="79">
        <v>4944068</v>
      </c>
      <c r="AY18" s="79"/>
      <c r="AZ18" s="308">
        <v>4971538.5</v>
      </c>
      <c r="BA18" s="266"/>
    </row>
    <row r="19" spans="1:53" ht="20.149999999999999" customHeight="1">
      <c r="A19" s="269" t="s">
        <v>742</v>
      </c>
      <c r="B19" s="269" t="s">
        <v>742</v>
      </c>
      <c r="C19" s="270">
        <v>358652</v>
      </c>
      <c r="D19" s="88">
        <v>406943</v>
      </c>
      <c r="E19" s="88">
        <v>443743.5</v>
      </c>
      <c r="F19" s="88">
        <v>494506</v>
      </c>
      <c r="G19" s="329">
        <f>AVERAGE(C19:F19)</f>
        <v>425961.125</v>
      </c>
      <c r="H19" s="270">
        <v>535271</v>
      </c>
      <c r="I19" s="88">
        <v>600411</v>
      </c>
      <c r="J19" s="88">
        <v>658475</v>
      </c>
      <c r="K19" s="88">
        <v>697978</v>
      </c>
      <c r="L19" s="329">
        <f t="shared" ref="L19:L21" si="23">AVERAGE(H19:K19)</f>
        <v>623033.75</v>
      </c>
      <c r="M19" s="279">
        <v>736315</v>
      </c>
      <c r="N19" s="88">
        <v>759922</v>
      </c>
      <c r="O19" s="271">
        <v>787736</v>
      </c>
      <c r="P19" s="88">
        <v>822568</v>
      </c>
      <c r="Q19" s="329">
        <v>776635</v>
      </c>
      <c r="R19" s="279">
        <v>860827</v>
      </c>
      <c r="S19" s="88">
        <v>881296</v>
      </c>
      <c r="T19" s="88">
        <v>893001</v>
      </c>
      <c r="U19" s="88">
        <v>915940</v>
      </c>
      <c r="V19" s="329">
        <v>887766</v>
      </c>
      <c r="W19" s="279">
        <v>948366</v>
      </c>
      <c r="X19" s="82">
        <v>964197</v>
      </c>
      <c r="Y19" s="82">
        <v>977142</v>
      </c>
      <c r="Z19" s="88">
        <v>995820</v>
      </c>
      <c r="AA19" s="329">
        <v>971381</v>
      </c>
      <c r="AB19" s="279">
        <v>1029294</v>
      </c>
      <c r="AC19" s="79">
        <v>1051692</v>
      </c>
      <c r="AD19" s="82">
        <v>1064544</v>
      </c>
      <c r="AE19" s="82">
        <v>1082951</v>
      </c>
      <c r="AF19" s="329">
        <v>1057120</v>
      </c>
      <c r="AG19" s="82">
        <v>1108316</v>
      </c>
      <c r="AH19" s="82">
        <v>1121333</v>
      </c>
      <c r="AI19" s="82">
        <v>1134327</v>
      </c>
      <c r="AJ19" s="82">
        <v>1149795</v>
      </c>
      <c r="AK19" s="329">
        <v>1128443</v>
      </c>
      <c r="AL19" s="82">
        <v>1164591</v>
      </c>
      <c r="AM19" s="82">
        <v>1171425</v>
      </c>
      <c r="AN19" s="82">
        <v>1177222</v>
      </c>
      <c r="AO19" s="82">
        <v>1185919</v>
      </c>
      <c r="AP19" s="329">
        <v>1174789</v>
      </c>
      <c r="AQ19" s="82">
        <v>1193663</v>
      </c>
      <c r="AR19" s="82">
        <v>1193706</v>
      </c>
      <c r="AS19" s="82">
        <v>1199160</v>
      </c>
      <c r="AT19" s="82">
        <v>1203210</v>
      </c>
      <c r="AU19" s="329">
        <v>1197435</v>
      </c>
      <c r="AV19" s="82">
        <v>1207961</v>
      </c>
      <c r="AW19" s="82">
        <v>1204404.5</v>
      </c>
      <c r="AX19" s="82">
        <v>1201462</v>
      </c>
      <c r="AY19" s="82"/>
      <c r="AZ19" s="329">
        <v>1204609.1666666667</v>
      </c>
      <c r="BA19" s="266"/>
    </row>
    <row r="20" spans="1:53" ht="20.149999999999999" customHeight="1">
      <c r="A20" s="267" t="s">
        <v>627</v>
      </c>
      <c r="B20" s="267" t="s">
        <v>628</v>
      </c>
      <c r="C20" s="265">
        <v>6986951</v>
      </c>
      <c r="D20" s="79">
        <v>6977393</v>
      </c>
      <c r="E20" s="79">
        <v>6978772</v>
      </c>
      <c r="F20" s="79">
        <v>6974525</v>
      </c>
      <c r="G20" s="308">
        <f t="shared" ref="G20:G21" si="24">AVERAGE(C20:F20)</f>
        <v>6979410.25</v>
      </c>
      <c r="H20" s="265">
        <v>6965606</v>
      </c>
      <c r="I20" s="79">
        <v>6917102</v>
      </c>
      <c r="J20" s="79">
        <v>6862047</v>
      </c>
      <c r="K20" s="79">
        <v>6801845</v>
      </c>
      <c r="L20" s="308">
        <f t="shared" si="23"/>
        <v>6886650</v>
      </c>
      <c r="M20" s="280">
        <v>6749396</v>
      </c>
      <c r="N20" s="79">
        <v>6670820</v>
      </c>
      <c r="O20" s="268">
        <v>6628199</v>
      </c>
      <c r="P20" s="79">
        <v>6597742</v>
      </c>
      <c r="Q20" s="308">
        <v>6661539</v>
      </c>
      <c r="R20" s="280">
        <v>6570344</v>
      </c>
      <c r="S20" s="79">
        <v>6532488</v>
      </c>
      <c r="T20" s="79">
        <v>6508391</v>
      </c>
      <c r="U20" s="79">
        <v>6502872</v>
      </c>
      <c r="V20" s="308">
        <v>6528524</v>
      </c>
      <c r="W20" s="280">
        <v>6523316</v>
      </c>
      <c r="X20" s="83">
        <v>6546774</v>
      </c>
      <c r="Y20" s="83">
        <v>6579908</v>
      </c>
      <c r="Z20" s="79">
        <v>6667869</v>
      </c>
      <c r="AA20" s="308">
        <v>6579467</v>
      </c>
      <c r="AB20" s="280">
        <v>6769379</v>
      </c>
      <c r="AC20" s="79">
        <v>6790804</v>
      </c>
      <c r="AD20" s="83">
        <v>6836282</v>
      </c>
      <c r="AE20" s="83">
        <v>6894295</v>
      </c>
      <c r="AF20" s="308">
        <v>6822690</v>
      </c>
      <c r="AG20" s="83">
        <v>6963584</v>
      </c>
      <c r="AH20" s="83">
        <v>7036346</v>
      </c>
      <c r="AI20" s="83">
        <v>7161022</v>
      </c>
      <c r="AJ20" s="83">
        <v>7276732</v>
      </c>
      <c r="AK20" s="308">
        <v>7109421</v>
      </c>
      <c r="AL20" s="83">
        <v>7384746</v>
      </c>
      <c r="AM20" s="83">
        <v>7519107</v>
      </c>
      <c r="AN20" s="83">
        <v>7679532</v>
      </c>
      <c r="AO20" s="83">
        <v>7823962</v>
      </c>
      <c r="AP20" s="308">
        <v>7601837</v>
      </c>
      <c r="AQ20" s="83">
        <v>7964689</v>
      </c>
      <c r="AR20" s="83">
        <v>8082768</v>
      </c>
      <c r="AS20" s="83">
        <v>8283242</v>
      </c>
      <c r="AT20" s="83">
        <v>8452883</v>
      </c>
      <c r="AU20" s="308">
        <v>8195896</v>
      </c>
      <c r="AV20" s="83">
        <v>8529814</v>
      </c>
      <c r="AW20" s="83">
        <v>8598959</v>
      </c>
      <c r="AX20" s="83">
        <v>8715614</v>
      </c>
      <c r="AY20" s="82"/>
      <c r="AZ20" s="308">
        <v>8614795.666666666</v>
      </c>
      <c r="BA20" s="266"/>
    </row>
    <row r="21" spans="1:53" ht="20.149999999999999" customHeight="1" thickBot="1">
      <c r="A21" s="267" t="s">
        <v>630</v>
      </c>
      <c r="B21" s="267" t="s">
        <v>630</v>
      </c>
      <c r="C21" s="265">
        <v>651733</v>
      </c>
      <c r="D21" s="79">
        <v>664480</v>
      </c>
      <c r="E21" s="79">
        <v>684893</v>
      </c>
      <c r="F21" s="79">
        <v>729867</v>
      </c>
      <c r="G21" s="308">
        <f t="shared" si="24"/>
        <v>682743.25</v>
      </c>
      <c r="H21" s="265">
        <v>788405</v>
      </c>
      <c r="I21" s="79">
        <v>831354</v>
      </c>
      <c r="J21" s="79">
        <v>878396</v>
      </c>
      <c r="K21" s="79">
        <v>947720</v>
      </c>
      <c r="L21" s="308">
        <f t="shared" si="23"/>
        <v>861468.75</v>
      </c>
      <c r="M21" s="280">
        <v>1009353</v>
      </c>
      <c r="N21" s="79">
        <v>1066689</v>
      </c>
      <c r="O21" s="268">
        <v>1195606</v>
      </c>
      <c r="P21" s="79">
        <v>1312679</v>
      </c>
      <c r="Q21" s="308">
        <v>1146082</v>
      </c>
      <c r="R21" s="280">
        <v>1402718</v>
      </c>
      <c r="S21" s="79">
        <v>1460839</v>
      </c>
      <c r="T21" s="79">
        <v>1493790</v>
      </c>
      <c r="U21" s="79">
        <v>1551290</v>
      </c>
      <c r="V21" s="308">
        <v>1477159</v>
      </c>
      <c r="W21" s="280">
        <v>1619742</v>
      </c>
      <c r="X21" s="83">
        <v>1667351</v>
      </c>
      <c r="Y21" s="83">
        <v>1706181</v>
      </c>
      <c r="Z21" s="79">
        <v>1738351</v>
      </c>
      <c r="AA21" s="308">
        <v>1682906</v>
      </c>
      <c r="AB21" s="280">
        <v>1762912</v>
      </c>
      <c r="AC21" s="79">
        <v>1770734</v>
      </c>
      <c r="AD21" s="83">
        <v>1774574</v>
      </c>
      <c r="AE21" s="83">
        <v>1796068</v>
      </c>
      <c r="AF21" s="308">
        <v>1776072</v>
      </c>
      <c r="AG21" s="83">
        <v>1814397</v>
      </c>
      <c r="AH21" s="83">
        <v>1808255</v>
      </c>
      <c r="AI21" s="83">
        <v>1805586</v>
      </c>
      <c r="AJ21" s="83">
        <v>1812681</v>
      </c>
      <c r="AK21" s="308">
        <v>1810230</v>
      </c>
      <c r="AL21" s="83">
        <v>1808354</v>
      </c>
      <c r="AM21" s="83">
        <v>1796192</v>
      </c>
      <c r="AN21" s="83">
        <v>1798693</v>
      </c>
      <c r="AO21" s="83">
        <v>1796942</v>
      </c>
      <c r="AP21" s="308">
        <v>1800045</v>
      </c>
      <c r="AQ21" s="83">
        <v>1790780</v>
      </c>
      <c r="AR21" s="83">
        <v>1789020</v>
      </c>
      <c r="AS21" s="83">
        <v>1790181</v>
      </c>
      <c r="AT21" s="83">
        <v>1803740</v>
      </c>
      <c r="AU21" s="308">
        <v>1793430</v>
      </c>
      <c r="AV21" s="83">
        <v>1823578</v>
      </c>
      <c r="AW21" s="83">
        <v>1818291.1666666667</v>
      </c>
      <c r="AX21" s="83">
        <v>1794805</v>
      </c>
      <c r="AY21" s="83"/>
      <c r="AZ21" s="308">
        <v>1812224.9444444445</v>
      </c>
      <c r="BA21" s="266"/>
    </row>
    <row r="22" spans="1:53" ht="20.149999999999999" customHeight="1">
      <c r="A22" s="316" t="s">
        <v>755</v>
      </c>
      <c r="B22" s="317" t="s">
        <v>756</v>
      </c>
      <c r="C22" s="318">
        <v>6288609</v>
      </c>
      <c r="D22" s="319">
        <v>6272029</v>
      </c>
      <c r="E22" s="319">
        <v>6271838</v>
      </c>
      <c r="F22" s="319">
        <v>6291791</v>
      </c>
      <c r="G22" s="320">
        <f>AVERAGE(C22:F22)</f>
        <v>6281066.75</v>
      </c>
      <c r="H22" s="318">
        <v>6316275</v>
      </c>
      <c r="I22" s="319">
        <v>6317333</v>
      </c>
      <c r="J22" s="319">
        <v>6293472</v>
      </c>
      <c r="K22" s="319">
        <v>6279979</v>
      </c>
      <c r="L22" s="320">
        <f>AVERAGE(H22:K22)</f>
        <v>6301764.75</v>
      </c>
      <c r="M22" s="318">
        <v>6274951</v>
      </c>
      <c r="N22" s="319">
        <v>6242450</v>
      </c>
      <c r="O22" s="319">
        <v>6201335</v>
      </c>
      <c r="P22" s="319">
        <v>6159902.666666667</v>
      </c>
      <c r="Q22" s="320">
        <v>6219660</v>
      </c>
      <c r="R22" s="318">
        <v>6105250</v>
      </c>
      <c r="S22" s="319">
        <v>6031638</v>
      </c>
      <c r="T22" s="319">
        <v>5960463</v>
      </c>
      <c r="U22" s="319">
        <v>5922397</v>
      </c>
      <c r="V22" s="320">
        <v>6004937</v>
      </c>
      <c r="W22" s="318">
        <v>5902526</v>
      </c>
      <c r="X22" s="319">
        <v>5876458</v>
      </c>
      <c r="Y22" s="319">
        <v>5858477</v>
      </c>
      <c r="Z22" s="319">
        <v>5868541</v>
      </c>
      <c r="AA22" s="320">
        <v>5876500</v>
      </c>
      <c r="AB22" s="318">
        <v>5872517</v>
      </c>
      <c r="AC22" s="319">
        <v>5828405</v>
      </c>
      <c r="AD22" s="319">
        <v>5803517</v>
      </c>
      <c r="AE22" s="319">
        <v>5781207</v>
      </c>
      <c r="AF22" s="320">
        <v>5821411</v>
      </c>
      <c r="AG22" s="319">
        <v>5760338</v>
      </c>
      <c r="AH22" s="319">
        <v>5732091</v>
      </c>
      <c r="AI22" s="319">
        <v>5717882</v>
      </c>
      <c r="AJ22" s="319">
        <v>5708353</v>
      </c>
      <c r="AK22" s="320">
        <v>5729666</v>
      </c>
      <c r="AL22" s="319">
        <v>5688071</v>
      </c>
      <c r="AM22" s="319">
        <v>5662168</v>
      </c>
      <c r="AN22" s="319">
        <v>5649225</v>
      </c>
      <c r="AO22" s="319">
        <v>5641301</v>
      </c>
      <c r="AP22" s="320">
        <v>5660191</v>
      </c>
      <c r="AQ22" s="319">
        <v>5625993</v>
      </c>
      <c r="AR22" s="319">
        <v>5591571</v>
      </c>
      <c r="AS22" s="319">
        <v>5579661</v>
      </c>
      <c r="AT22" s="319">
        <v>5558348</v>
      </c>
      <c r="AU22" s="320">
        <v>5588893</v>
      </c>
      <c r="AV22" s="319">
        <v>5526063</v>
      </c>
      <c r="AW22" s="319">
        <v>5487976.333333333</v>
      </c>
      <c r="AX22" s="319">
        <v>5461033</v>
      </c>
      <c r="AY22" s="319"/>
      <c r="AZ22" s="320">
        <v>5491690.888888889</v>
      </c>
      <c r="BA22" s="266"/>
    </row>
    <row r="23" spans="1:53" s="288" customFormat="1" ht="20.149999999999999" customHeight="1" thickBot="1">
      <c r="A23" s="321" t="s">
        <v>642</v>
      </c>
      <c r="B23" s="321" t="s">
        <v>643</v>
      </c>
      <c r="C23" s="310"/>
      <c r="D23" s="311"/>
      <c r="E23" s="311"/>
      <c r="F23" s="311"/>
      <c r="G23" s="322"/>
      <c r="H23" s="310"/>
      <c r="I23" s="311"/>
      <c r="J23" s="311"/>
      <c r="K23" s="311"/>
      <c r="L23" s="322"/>
      <c r="M23" s="314"/>
      <c r="N23" s="311"/>
      <c r="O23" s="311"/>
      <c r="P23" s="311"/>
      <c r="Q23" s="322"/>
      <c r="R23" s="314"/>
      <c r="S23" s="311"/>
      <c r="T23" s="311"/>
      <c r="U23" s="311"/>
      <c r="V23" s="322"/>
      <c r="W23" s="314"/>
      <c r="X23" s="315"/>
      <c r="Y23" s="315"/>
      <c r="Z23" s="311"/>
      <c r="AA23" s="322"/>
      <c r="AB23" s="314"/>
      <c r="AC23" s="315"/>
      <c r="AD23" s="315"/>
      <c r="AE23" s="311"/>
      <c r="AF23" s="322"/>
      <c r="AG23" s="315"/>
      <c r="AH23" s="315"/>
      <c r="AI23" s="315"/>
      <c r="AJ23" s="315"/>
      <c r="AK23" s="322"/>
      <c r="AL23" s="315"/>
      <c r="AM23" s="315"/>
      <c r="AN23" s="315"/>
      <c r="AO23" s="315"/>
      <c r="AP23" s="322"/>
      <c r="AQ23" s="315"/>
      <c r="AR23" s="315"/>
      <c r="AS23" s="315"/>
      <c r="AT23" s="315"/>
      <c r="AU23" s="322"/>
      <c r="AV23" s="315"/>
      <c r="AW23" s="315"/>
      <c r="AX23" s="315"/>
      <c r="AY23" s="315"/>
      <c r="AZ23" s="322"/>
    </row>
    <row r="24" spans="1:53" s="266" customFormat="1" ht="20.149999999999999" customHeight="1" thickBot="1">
      <c r="A24" s="335" t="s">
        <v>738</v>
      </c>
      <c r="B24" s="336" t="s">
        <v>757</v>
      </c>
      <c r="C24" s="300" t="s">
        <v>735</v>
      </c>
      <c r="D24" s="301" t="s">
        <v>735</v>
      </c>
      <c r="E24" s="301" t="s">
        <v>735</v>
      </c>
      <c r="F24" s="301" t="s">
        <v>735</v>
      </c>
      <c r="G24" s="309" t="s">
        <v>735</v>
      </c>
      <c r="H24" s="300">
        <f>SUM(H25:H27)</f>
        <v>4548385</v>
      </c>
      <c r="I24" s="301">
        <f t="shared" ref="I24:N24" si="25">SUM(I25:I27)</f>
        <v>4565319</v>
      </c>
      <c r="J24" s="301">
        <f t="shared" si="25"/>
        <v>4719129</v>
      </c>
      <c r="K24" s="301">
        <f t="shared" si="25"/>
        <v>4468527</v>
      </c>
      <c r="L24" s="309">
        <f t="shared" si="25"/>
        <v>4468527</v>
      </c>
      <c r="M24" s="300">
        <f t="shared" si="25"/>
        <v>4350325</v>
      </c>
      <c r="N24" s="301">
        <f t="shared" si="25"/>
        <v>4227128</v>
      </c>
      <c r="O24" s="301">
        <f>SUM(O25:O27)</f>
        <v>4219194</v>
      </c>
      <c r="P24" s="301">
        <f>SUM(P25:P27)</f>
        <v>4134203</v>
      </c>
      <c r="Q24" s="309">
        <f>SUM(Q25:Q27)</f>
        <v>4134203</v>
      </c>
      <c r="R24" s="300">
        <f t="shared" ref="R24:AK24" si="26">SUM(R25:R27)</f>
        <v>4034757</v>
      </c>
      <c r="S24" s="301">
        <f t="shared" si="26"/>
        <v>3972069</v>
      </c>
      <c r="T24" s="301">
        <f t="shared" si="26"/>
        <v>3976807</v>
      </c>
      <c r="U24" s="301">
        <f t="shared" si="26"/>
        <v>3854993</v>
      </c>
      <c r="V24" s="309">
        <f t="shared" si="26"/>
        <v>3854993</v>
      </c>
      <c r="W24" s="300">
        <f t="shared" si="26"/>
        <v>3787667</v>
      </c>
      <c r="X24" s="301">
        <f t="shared" si="26"/>
        <v>3830816</v>
      </c>
      <c r="Y24" s="301">
        <f t="shared" si="26"/>
        <v>3527904</v>
      </c>
      <c r="Z24" s="301">
        <f t="shared" si="26"/>
        <v>3270338</v>
      </c>
      <c r="AA24" s="309">
        <f t="shared" si="26"/>
        <v>3270338</v>
      </c>
      <c r="AB24" s="300">
        <f t="shared" si="26"/>
        <v>2879090</v>
      </c>
      <c r="AC24" s="301">
        <f t="shared" si="26"/>
        <v>2854301</v>
      </c>
      <c r="AD24" s="301">
        <f t="shared" si="26"/>
        <v>2880161</v>
      </c>
      <c r="AE24" s="301">
        <f t="shared" si="26"/>
        <v>2837553</v>
      </c>
      <c r="AF24" s="309">
        <f t="shared" si="26"/>
        <v>2837553</v>
      </c>
      <c r="AG24" s="301">
        <f t="shared" si="26"/>
        <v>2783184</v>
      </c>
      <c r="AH24" s="301">
        <f t="shared" si="26"/>
        <v>2768818</v>
      </c>
      <c r="AI24" s="301">
        <f>SUM(AI25:AI27)</f>
        <v>2794108</v>
      </c>
      <c r="AJ24" s="301">
        <f t="shared" si="26"/>
        <v>2646869</v>
      </c>
      <c r="AK24" s="309">
        <f t="shared" si="26"/>
        <v>2646869</v>
      </c>
      <c r="AL24" s="301">
        <f>SUM(AL25:AL27)</f>
        <v>2642775</v>
      </c>
      <c r="AM24" s="301">
        <f t="shared" ref="AM24:AP24" si="27">SUM(AM25:AM27)</f>
        <v>2607311</v>
      </c>
      <c r="AN24" s="301">
        <f t="shared" si="27"/>
        <v>2678890</v>
      </c>
      <c r="AO24" s="301">
        <f t="shared" si="27"/>
        <v>2657494</v>
      </c>
      <c r="AP24" s="309">
        <f t="shared" si="27"/>
        <v>2657494</v>
      </c>
      <c r="AQ24" s="301">
        <f>SUM(AQ25:AQ27)</f>
        <v>2638638</v>
      </c>
      <c r="AR24" s="301">
        <f>SUM(AR25:AR27)</f>
        <v>2525224</v>
      </c>
      <c r="AS24" s="301">
        <f t="shared" ref="AS24:AU24" si="28">SUM(AS25:AS27)</f>
        <v>2671239</v>
      </c>
      <c r="AT24" s="301">
        <f t="shared" si="28"/>
        <v>2617813</v>
      </c>
      <c r="AU24" s="309">
        <f t="shared" si="28"/>
        <v>2617813</v>
      </c>
      <c r="AV24" s="301">
        <f>SUM(AV25:AV27)</f>
        <v>2736095</v>
      </c>
      <c r="AW24" s="301">
        <f>SUM(AW25:AW27)</f>
        <v>2595890</v>
      </c>
      <c r="AX24" s="301">
        <f t="shared" ref="AX24:AY24" si="29">SUM(AX25:AX27)</f>
        <v>2630714</v>
      </c>
      <c r="AY24" s="301">
        <f t="shared" si="29"/>
        <v>0</v>
      </c>
      <c r="AZ24" s="309">
        <f>SUM(AZ25:AZ27)</f>
        <v>2630714</v>
      </c>
    </row>
    <row r="25" spans="1:53" s="266" customFormat="1" ht="20.149999999999999" customHeight="1">
      <c r="A25" s="332" t="s">
        <v>646</v>
      </c>
      <c r="B25" s="332" t="s">
        <v>647</v>
      </c>
      <c r="C25" s="265" t="s">
        <v>735</v>
      </c>
      <c r="D25" s="79" t="s">
        <v>735</v>
      </c>
      <c r="E25" s="79" t="s">
        <v>735</v>
      </c>
      <c r="F25" s="79" t="s">
        <v>735</v>
      </c>
      <c r="G25" s="308" t="s">
        <v>735</v>
      </c>
      <c r="H25" s="265">
        <v>85574</v>
      </c>
      <c r="I25" s="79">
        <v>81441</v>
      </c>
      <c r="J25" s="79">
        <v>84538</v>
      </c>
      <c r="K25" s="79">
        <v>77771</v>
      </c>
      <c r="L25" s="308">
        <f>K25</f>
        <v>77771</v>
      </c>
      <c r="M25" s="265">
        <v>81619</v>
      </c>
      <c r="N25" s="79">
        <v>66578</v>
      </c>
      <c r="O25" s="268">
        <v>98136</v>
      </c>
      <c r="P25" s="79">
        <v>122787</v>
      </c>
      <c r="Q25" s="308">
        <v>122787</v>
      </c>
      <c r="R25" s="265">
        <v>66163</v>
      </c>
      <c r="S25" s="79">
        <v>41517</v>
      </c>
      <c r="T25" s="79">
        <v>60471</v>
      </c>
      <c r="U25" s="79">
        <v>31972</v>
      </c>
      <c r="V25" s="308">
        <f>U25</f>
        <v>31972</v>
      </c>
      <c r="W25" s="265">
        <v>35754</v>
      </c>
      <c r="X25" s="79">
        <v>73544</v>
      </c>
      <c r="Y25" s="79">
        <v>44913</v>
      </c>
      <c r="Z25" s="79">
        <v>79306</v>
      </c>
      <c r="AA25" s="308">
        <f>Z25</f>
        <v>79306</v>
      </c>
      <c r="AB25" s="265">
        <v>48224</v>
      </c>
      <c r="AC25" s="79">
        <v>57183</v>
      </c>
      <c r="AD25" s="79">
        <v>63627</v>
      </c>
      <c r="AE25" s="79">
        <v>79561</v>
      </c>
      <c r="AF25" s="308">
        <f>AE25</f>
        <v>79561</v>
      </c>
      <c r="AG25" s="79">
        <v>75159</v>
      </c>
      <c r="AH25" s="79">
        <v>59722</v>
      </c>
      <c r="AI25" s="79">
        <v>91261</v>
      </c>
      <c r="AJ25" s="79">
        <v>95685</v>
      </c>
      <c r="AK25" s="308">
        <v>95685</v>
      </c>
      <c r="AL25" s="79">
        <v>144586</v>
      </c>
      <c r="AM25" s="79">
        <v>87176</v>
      </c>
      <c r="AN25" s="79">
        <v>142886</v>
      </c>
      <c r="AO25" s="79">
        <v>161208</v>
      </c>
      <c r="AP25" s="308">
        <v>161208</v>
      </c>
      <c r="AQ25" s="79">
        <v>171958</v>
      </c>
      <c r="AR25" s="79">
        <v>93292</v>
      </c>
      <c r="AS25" s="79">
        <v>158060</v>
      </c>
      <c r="AT25" s="79">
        <v>114416</v>
      </c>
      <c r="AU25" s="308">
        <f>AT25</f>
        <v>114416</v>
      </c>
      <c r="AV25" s="79">
        <v>224608</v>
      </c>
      <c r="AW25" s="79">
        <v>135476</v>
      </c>
      <c r="AX25" s="79">
        <v>144885</v>
      </c>
      <c r="AY25" s="79"/>
      <c r="AZ25" s="308">
        <f t="shared" ref="AZ25:AZ27" si="30">AX25</f>
        <v>144885</v>
      </c>
    </row>
    <row r="26" spans="1:53" s="266" customFormat="1" ht="20.149999999999999" customHeight="1">
      <c r="A26" s="332" t="s">
        <v>627</v>
      </c>
      <c r="B26" s="332" t="s">
        <v>648</v>
      </c>
      <c r="C26" s="265" t="s">
        <v>735</v>
      </c>
      <c r="D26" s="79" t="s">
        <v>735</v>
      </c>
      <c r="E26" s="79" t="s">
        <v>735</v>
      </c>
      <c r="F26" s="79" t="s">
        <v>735</v>
      </c>
      <c r="G26" s="308" t="s">
        <v>735</v>
      </c>
      <c r="H26" s="265">
        <v>4385742</v>
      </c>
      <c r="I26" s="79">
        <v>4379630</v>
      </c>
      <c r="J26" s="79">
        <v>4475541</v>
      </c>
      <c r="K26" s="79">
        <v>4171810</v>
      </c>
      <c r="L26" s="308">
        <f>K26</f>
        <v>4171810</v>
      </c>
      <c r="M26" s="265">
        <v>4042605</v>
      </c>
      <c r="N26" s="79">
        <v>3923778</v>
      </c>
      <c r="O26" s="268">
        <v>3855669</v>
      </c>
      <c r="P26" s="79">
        <v>3792978</v>
      </c>
      <c r="Q26" s="308">
        <v>3792978</v>
      </c>
      <c r="R26" s="265">
        <v>3775976</v>
      </c>
      <c r="S26" s="79">
        <v>3737282</v>
      </c>
      <c r="T26" s="79">
        <v>3685092</v>
      </c>
      <c r="U26" s="79">
        <v>3591736</v>
      </c>
      <c r="V26" s="308">
        <f t="shared" ref="V26:V27" si="31">U26</f>
        <v>3591736</v>
      </c>
      <c r="W26" s="265">
        <v>3495733</v>
      </c>
      <c r="X26" s="79">
        <v>3473228</v>
      </c>
      <c r="Y26" s="79">
        <v>3223224</v>
      </c>
      <c r="Z26" s="79">
        <v>2972443</v>
      </c>
      <c r="AA26" s="308">
        <f t="shared" ref="AA26:AA27" si="32">Z26</f>
        <v>2972443</v>
      </c>
      <c r="AB26" s="265">
        <v>2646477</v>
      </c>
      <c r="AC26" s="79">
        <v>2616592</v>
      </c>
      <c r="AD26" s="79">
        <v>2623950</v>
      </c>
      <c r="AE26" s="79">
        <v>2579613</v>
      </c>
      <c r="AF26" s="308">
        <f t="shared" ref="AF26:AF27" si="33">AE26</f>
        <v>2579613</v>
      </c>
      <c r="AG26" s="79">
        <v>2539402</v>
      </c>
      <c r="AH26" s="79">
        <v>2545749</v>
      </c>
      <c r="AI26" s="79">
        <v>2550355</v>
      </c>
      <c r="AJ26" s="79">
        <v>2423774</v>
      </c>
      <c r="AK26" s="308">
        <v>2423774</v>
      </c>
      <c r="AL26" s="79">
        <v>2387672</v>
      </c>
      <c r="AM26" s="79">
        <v>2418370</v>
      </c>
      <c r="AN26" s="79">
        <v>2443295</v>
      </c>
      <c r="AO26" s="79">
        <v>2415819</v>
      </c>
      <c r="AP26" s="308">
        <v>2415819</v>
      </c>
      <c r="AQ26" s="79">
        <v>2393373</v>
      </c>
      <c r="AR26" s="79">
        <v>2364248</v>
      </c>
      <c r="AS26" s="79">
        <v>2449237</v>
      </c>
      <c r="AT26" s="79">
        <v>2445873</v>
      </c>
      <c r="AU26" s="308">
        <f>AT26</f>
        <v>2445873</v>
      </c>
      <c r="AV26" s="79">
        <v>2458165</v>
      </c>
      <c r="AW26" s="79">
        <v>2413672</v>
      </c>
      <c r="AX26" s="79">
        <v>2441939</v>
      </c>
      <c r="AY26" s="79"/>
      <c r="AZ26" s="308">
        <f t="shared" si="30"/>
        <v>2441939</v>
      </c>
    </row>
    <row r="27" spans="1:53" s="266" customFormat="1" ht="20.149999999999999" customHeight="1" thickBot="1">
      <c r="A27" s="332" t="s">
        <v>629</v>
      </c>
      <c r="B27" s="332" t="s">
        <v>629</v>
      </c>
      <c r="C27" s="265" t="s">
        <v>735</v>
      </c>
      <c r="D27" s="79" t="s">
        <v>735</v>
      </c>
      <c r="E27" s="79" t="s">
        <v>735</v>
      </c>
      <c r="F27" s="79" t="s">
        <v>735</v>
      </c>
      <c r="G27" s="308" t="s">
        <v>735</v>
      </c>
      <c r="H27" s="265">
        <v>77069</v>
      </c>
      <c r="I27" s="79">
        <v>104248</v>
      </c>
      <c r="J27" s="79">
        <v>159050</v>
      </c>
      <c r="K27" s="79">
        <v>218946</v>
      </c>
      <c r="L27" s="308">
        <f>K27</f>
        <v>218946</v>
      </c>
      <c r="M27" s="265">
        <v>226101</v>
      </c>
      <c r="N27" s="79">
        <v>236772</v>
      </c>
      <c r="O27" s="268">
        <v>265389</v>
      </c>
      <c r="P27" s="79">
        <v>218438</v>
      </c>
      <c r="Q27" s="308">
        <v>218438</v>
      </c>
      <c r="R27" s="265">
        <v>192618</v>
      </c>
      <c r="S27" s="79">
        <v>193270</v>
      </c>
      <c r="T27" s="79">
        <v>231244</v>
      </c>
      <c r="U27" s="79">
        <v>231285</v>
      </c>
      <c r="V27" s="308">
        <f t="shared" si="31"/>
        <v>231285</v>
      </c>
      <c r="W27" s="265">
        <v>256180</v>
      </c>
      <c r="X27" s="79">
        <v>284044</v>
      </c>
      <c r="Y27" s="79">
        <v>259767</v>
      </c>
      <c r="Z27" s="79">
        <v>218589</v>
      </c>
      <c r="AA27" s="308">
        <f t="shared" si="32"/>
        <v>218589</v>
      </c>
      <c r="AB27" s="265">
        <v>184389</v>
      </c>
      <c r="AC27" s="79">
        <v>180526</v>
      </c>
      <c r="AD27" s="79">
        <v>192584</v>
      </c>
      <c r="AE27" s="79">
        <v>178379</v>
      </c>
      <c r="AF27" s="308">
        <f t="shared" si="33"/>
        <v>178379</v>
      </c>
      <c r="AG27" s="79">
        <v>168623</v>
      </c>
      <c r="AH27" s="79">
        <v>163347</v>
      </c>
      <c r="AI27" s="79">
        <v>152492</v>
      </c>
      <c r="AJ27" s="79">
        <v>127410</v>
      </c>
      <c r="AK27" s="308">
        <v>127410</v>
      </c>
      <c r="AL27" s="79">
        <v>110517</v>
      </c>
      <c r="AM27" s="79">
        <v>101765</v>
      </c>
      <c r="AN27" s="79">
        <v>92709</v>
      </c>
      <c r="AO27" s="79">
        <v>80467</v>
      </c>
      <c r="AP27" s="308">
        <v>80467</v>
      </c>
      <c r="AQ27" s="79">
        <v>73307</v>
      </c>
      <c r="AR27" s="79">
        <v>67684</v>
      </c>
      <c r="AS27" s="79">
        <v>63942</v>
      </c>
      <c r="AT27" s="79">
        <v>57524</v>
      </c>
      <c r="AU27" s="308">
        <f>AT27</f>
        <v>57524</v>
      </c>
      <c r="AV27" s="79">
        <v>53322</v>
      </c>
      <c r="AW27" s="79">
        <v>46742</v>
      </c>
      <c r="AX27" s="79">
        <v>43890</v>
      </c>
      <c r="AY27" s="79"/>
      <c r="AZ27" s="308">
        <f t="shared" si="30"/>
        <v>43890</v>
      </c>
    </row>
    <row r="28" spans="1:53" s="307" customFormat="1" ht="20.149999999999999" customHeight="1" thickBot="1">
      <c r="A28" s="305" t="s">
        <v>758</v>
      </c>
      <c r="B28" s="306" t="s">
        <v>759</v>
      </c>
      <c r="C28" s="303" t="s">
        <v>735</v>
      </c>
      <c r="D28" s="304" t="s">
        <v>735</v>
      </c>
      <c r="E28" s="304" t="s">
        <v>735</v>
      </c>
      <c r="F28" s="304" t="s">
        <v>735</v>
      </c>
      <c r="G28" s="302" t="s">
        <v>735</v>
      </c>
      <c r="H28" s="303">
        <v>18</v>
      </c>
      <c r="I28" s="304">
        <v>19.2</v>
      </c>
      <c r="J28" s="304">
        <v>18.2</v>
      </c>
      <c r="K28" s="304">
        <v>17.5</v>
      </c>
      <c r="L28" s="302">
        <v>18.2</v>
      </c>
      <c r="M28" s="303">
        <v>16.5</v>
      </c>
      <c r="N28" s="304">
        <v>17.899999999999999</v>
      </c>
      <c r="O28" s="304">
        <v>18.3</v>
      </c>
      <c r="P28" s="304">
        <v>18.2</v>
      </c>
      <c r="Q28" s="302">
        <v>17.7</v>
      </c>
      <c r="R28" s="303">
        <v>17.3</v>
      </c>
      <c r="S28" s="304">
        <v>18.3</v>
      </c>
      <c r="T28" s="304">
        <v>19</v>
      </c>
      <c r="U28" s="304">
        <v>18.5</v>
      </c>
      <c r="V28" s="302">
        <v>18.3</v>
      </c>
      <c r="W28" s="303">
        <v>17.7</v>
      </c>
      <c r="X28" s="304">
        <v>18.899999999999999</v>
      </c>
      <c r="Y28" s="304">
        <v>18.7</v>
      </c>
      <c r="Z28" s="304">
        <v>19.2</v>
      </c>
      <c r="AA28" s="302">
        <v>18.600000000000001</v>
      </c>
      <c r="AB28" s="303">
        <v>18.7</v>
      </c>
      <c r="AC28" s="304">
        <v>20.5</v>
      </c>
      <c r="AD28" s="304">
        <v>20.2</v>
      </c>
      <c r="AE28" s="304">
        <v>20.100000000000001</v>
      </c>
      <c r="AF28" s="302">
        <v>19.899999999999999</v>
      </c>
      <c r="AG28" s="304">
        <v>20.100000000000001</v>
      </c>
      <c r="AH28" s="304">
        <v>20.399999999999999</v>
      </c>
      <c r="AI28" s="304">
        <v>20.8</v>
      </c>
      <c r="AJ28" s="304">
        <v>20.3</v>
      </c>
      <c r="AK28" s="302">
        <v>20.399999999999999</v>
      </c>
      <c r="AL28" s="304">
        <v>20.100000000000001</v>
      </c>
      <c r="AM28" s="304">
        <v>20.8</v>
      </c>
      <c r="AN28" s="304">
        <v>20.8</v>
      </c>
      <c r="AO28" s="304">
        <v>20.3</v>
      </c>
      <c r="AP28" s="302">
        <v>20.5</v>
      </c>
      <c r="AQ28" s="304">
        <v>20.7</v>
      </c>
      <c r="AR28" s="304">
        <v>21.4</v>
      </c>
      <c r="AS28" s="304">
        <v>21.5</v>
      </c>
      <c r="AT28" s="304">
        <v>21.8</v>
      </c>
      <c r="AU28" s="302">
        <v>21.4</v>
      </c>
      <c r="AV28" s="304">
        <v>21.5</v>
      </c>
      <c r="AW28" s="304">
        <v>21.967114718613772</v>
      </c>
      <c r="AX28" s="304">
        <v>21.4</v>
      </c>
      <c r="AY28" s="304"/>
      <c r="AZ28" s="302">
        <v>21.61653706970829</v>
      </c>
    </row>
    <row r="29" spans="1:53" s="266" customFormat="1" ht="20.149999999999999" customHeight="1" thickBot="1">
      <c r="A29" s="335" t="s">
        <v>753</v>
      </c>
      <c r="B29" s="336" t="s">
        <v>760</v>
      </c>
      <c r="C29" s="300" t="s">
        <v>735</v>
      </c>
      <c r="D29" s="301" t="s">
        <v>735</v>
      </c>
      <c r="E29" s="301" t="s">
        <v>735</v>
      </c>
      <c r="F29" s="301" t="s">
        <v>735</v>
      </c>
      <c r="G29" s="309" t="s">
        <v>735</v>
      </c>
      <c r="H29" s="300">
        <f>SUM(H30:H32)</f>
        <v>4549031</v>
      </c>
      <c r="I29" s="301">
        <f t="shared" ref="I29:N29" si="34">SUM(I30:I32)</f>
        <v>4532090</v>
      </c>
      <c r="J29" s="301">
        <f t="shared" si="34"/>
        <v>4635182</v>
      </c>
      <c r="K29" s="301">
        <f t="shared" si="34"/>
        <v>4599374</v>
      </c>
      <c r="L29" s="309">
        <f t="shared" si="34"/>
        <v>4578919.25</v>
      </c>
      <c r="M29" s="300">
        <f t="shared" si="34"/>
        <v>4398038</v>
      </c>
      <c r="N29" s="301">
        <f t="shared" si="34"/>
        <v>4285747</v>
      </c>
      <c r="O29" s="301">
        <f>SUM(O30:O32)</f>
        <v>4212274</v>
      </c>
      <c r="P29" s="301">
        <f>SUM(P30:P32)</f>
        <v>4172129</v>
      </c>
      <c r="Q29" s="309">
        <f>SUM(Q30:Q32)</f>
        <v>4267047</v>
      </c>
      <c r="R29" s="300">
        <f t="shared" ref="R29:AU29" si="35">SUM(R30:R32)</f>
        <v>4068646</v>
      </c>
      <c r="S29" s="301">
        <f t="shared" si="35"/>
        <v>4006108</v>
      </c>
      <c r="T29" s="301">
        <f t="shared" si="35"/>
        <v>3970091</v>
      </c>
      <c r="U29" s="301">
        <f t="shared" si="35"/>
        <v>3917979</v>
      </c>
      <c r="V29" s="309">
        <f t="shared" si="35"/>
        <v>3990706</v>
      </c>
      <c r="W29" s="300">
        <f t="shared" si="35"/>
        <v>3801870</v>
      </c>
      <c r="X29" s="301">
        <f t="shared" si="35"/>
        <v>3794613</v>
      </c>
      <c r="Y29" s="301">
        <f t="shared" si="35"/>
        <v>3713417</v>
      </c>
      <c r="Z29" s="301">
        <f t="shared" si="35"/>
        <v>3341220</v>
      </c>
      <c r="AA29" s="309">
        <f t="shared" si="35"/>
        <v>3662780</v>
      </c>
      <c r="AB29" s="300">
        <f t="shared" si="35"/>
        <v>3050604</v>
      </c>
      <c r="AC29" s="301">
        <f t="shared" si="35"/>
        <v>2882155</v>
      </c>
      <c r="AD29" s="301">
        <f t="shared" si="35"/>
        <v>2863783</v>
      </c>
      <c r="AE29" s="301">
        <f t="shared" si="35"/>
        <v>2851766</v>
      </c>
      <c r="AF29" s="309">
        <f t="shared" si="35"/>
        <v>2912076</v>
      </c>
      <c r="AG29" s="301">
        <f t="shared" si="35"/>
        <v>2789695</v>
      </c>
      <c r="AH29" s="301">
        <f t="shared" si="35"/>
        <v>2771707.333333333</v>
      </c>
      <c r="AI29" s="301">
        <f t="shared" si="35"/>
        <v>2774199</v>
      </c>
      <c r="AJ29" s="301">
        <f t="shared" si="35"/>
        <v>2745638</v>
      </c>
      <c r="AK29" s="309">
        <f t="shared" si="35"/>
        <v>2770309</v>
      </c>
      <c r="AL29" s="301">
        <f t="shared" si="35"/>
        <v>2613613</v>
      </c>
      <c r="AM29" s="301">
        <f t="shared" si="35"/>
        <v>2616887</v>
      </c>
      <c r="AN29" s="301">
        <f t="shared" si="35"/>
        <v>2633673</v>
      </c>
      <c r="AO29" s="301">
        <f t="shared" si="35"/>
        <v>2656703</v>
      </c>
      <c r="AP29" s="309">
        <f t="shared" si="35"/>
        <v>2630219</v>
      </c>
      <c r="AQ29" s="301">
        <f t="shared" si="35"/>
        <v>2604742</v>
      </c>
      <c r="AR29" s="301">
        <f t="shared" si="35"/>
        <v>2591758</v>
      </c>
      <c r="AS29" s="301">
        <f t="shared" si="35"/>
        <v>2612383</v>
      </c>
      <c r="AT29" s="301">
        <f t="shared" si="35"/>
        <v>2687327</v>
      </c>
      <c r="AU29" s="309">
        <f t="shared" si="35"/>
        <v>2624052.4583333335</v>
      </c>
      <c r="AV29" s="301">
        <f t="shared" ref="AV29:AZ29" si="36">SUM(AV30:AV32)</f>
        <v>2638165</v>
      </c>
      <c r="AW29" s="301">
        <f t="shared" si="36"/>
        <v>2651956.8333333335</v>
      </c>
      <c r="AX29" s="301">
        <f t="shared" si="36"/>
        <v>2596767</v>
      </c>
      <c r="AY29" s="301">
        <f t="shared" si="36"/>
        <v>0</v>
      </c>
      <c r="AZ29" s="309">
        <f t="shared" si="36"/>
        <v>2628962.7222222225</v>
      </c>
    </row>
    <row r="30" spans="1:53" s="266" customFormat="1" ht="20.149999999999999" customHeight="1">
      <c r="A30" s="332" t="s">
        <v>646</v>
      </c>
      <c r="B30" s="332" t="s">
        <v>647</v>
      </c>
      <c r="C30" s="265" t="s">
        <v>735</v>
      </c>
      <c r="D30" s="79" t="s">
        <v>735</v>
      </c>
      <c r="E30" s="79" t="s">
        <v>735</v>
      </c>
      <c r="F30" s="79" t="s">
        <v>735</v>
      </c>
      <c r="G30" s="308" t="s">
        <v>735</v>
      </c>
      <c r="H30" s="265">
        <v>78707</v>
      </c>
      <c r="I30" s="79">
        <v>73828</v>
      </c>
      <c r="J30" s="79">
        <v>68740</v>
      </c>
      <c r="K30" s="79">
        <v>77953</v>
      </c>
      <c r="L30" s="308">
        <f>AVERAGE(H30:K30)</f>
        <v>74807</v>
      </c>
      <c r="M30" s="265">
        <v>77779</v>
      </c>
      <c r="N30" s="79">
        <v>79253</v>
      </c>
      <c r="O30" s="268">
        <v>69522</v>
      </c>
      <c r="P30" s="79">
        <v>129021</v>
      </c>
      <c r="Q30" s="308">
        <v>88894</v>
      </c>
      <c r="R30" s="265">
        <v>67972</v>
      </c>
      <c r="S30" s="79">
        <v>61165</v>
      </c>
      <c r="T30" s="79">
        <v>41313</v>
      </c>
      <c r="U30" s="79">
        <v>56743</v>
      </c>
      <c r="V30" s="308">
        <v>56798</v>
      </c>
      <c r="W30" s="265">
        <v>36255</v>
      </c>
      <c r="X30" s="79">
        <v>52114</v>
      </c>
      <c r="Y30" s="79">
        <v>42971</v>
      </c>
      <c r="Z30" s="79">
        <v>54083</v>
      </c>
      <c r="AA30" s="308">
        <v>46356</v>
      </c>
      <c r="AB30" s="265">
        <v>48659</v>
      </c>
      <c r="AC30" s="79">
        <v>69132</v>
      </c>
      <c r="AD30" s="79">
        <v>54950</v>
      </c>
      <c r="AE30" s="79">
        <v>65088</v>
      </c>
      <c r="AF30" s="308">
        <v>59457</v>
      </c>
      <c r="AG30" s="79">
        <v>58222</v>
      </c>
      <c r="AH30" s="79">
        <v>69503.166666666672</v>
      </c>
      <c r="AI30" s="79">
        <v>58358</v>
      </c>
      <c r="AJ30" s="79">
        <v>95346</v>
      </c>
      <c r="AK30" s="308">
        <v>70357</v>
      </c>
      <c r="AL30" s="79">
        <v>91940</v>
      </c>
      <c r="AM30" s="79">
        <v>113249</v>
      </c>
      <c r="AN30" s="79">
        <v>94727</v>
      </c>
      <c r="AO30" s="79">
        <v>145284</v>
      </c>
      <c r="AP30" s="308">
        <v>111300</v>
      </c>
      <c r="AQ30" s="79">
        <v>122482</v>
      </c>
      <c r="AR30" s="79">
        <v>160079</v>
      </c>
      <c r="AS30" s="79">
        <v>131105</v>
      </c>
      <c r="AT30" s="79">
        <v>176926</v>
      </c>
      <c r="AU30" s="308">
        <v>147648</v>
      </c>
      <c r="AV30" s="79">
        <v>140172</v>
      </c>
      <c r="AW30" s="79">
        <v>188256.66666666666</v>
      </c>
      <c r="AX30" s="79">
        <v>118857</v>
      </c>
      <c r="AY30" s="79"/>
      <c r="AZ30" s="308">
        <v>149094.94444444444</v>
      </c>
    </row>
    <row r="31" spans="1:53" s="266" customFormat="1" ht="20.149999999999999" customHeight="1">
      <c r="A31" s="332" t="s">
        <v>627</v>
      </c>
      <c r="B31" s="332" t="s">
        <v>648</v>
      </c>
      <c r="C31" s="265" t="s">
        <v>735</v>
      </c>
      <c r="D31" s="79" t="s">
        <v>735</v>
      </c>
      <c r="E31" s="79" t="s">
        <v>735</v>
      </c>
      <c r="F31" s="79" t="s">
        <v>735</v>
      </c>
      <c r="G31" s="308" t="s">
        <v>735</v>
      </c>
      <c r="H31" s="265">
        <v>4397976</v>
      </c>
      <c r="I31" s="79">
        <v>4370181</v>
      </c>
      <c r="J31" s="79">
        <v>4431149</v>
      </c>
      <c r="K31" s="79">
        <v>4338987</v>
      </c>
      <c r="L31" s="308">
        <f t="shared" ref="L31:L32" si="37">AVERAGE(H31:K31)</f>
        <v>4384573.25</v>
      </c>
      <c r="M31" s="265">
        <v>4091609</v>
      </c>
      <c r="N31" s="79">
        <v>3975410</v>
      </c>
      <c r="O31" s="268">
        <v>3893375</v>
      </c>
      <c r="P31" s="79">
        <v>3798701</v>
      </c>
      <c r="Q31" s="308">
        <v>3939774</v>
      </c>
      <c r="R31" s="265">
        <v>3797423</v>
      </c>
      <c r="S31" s="79">
        <v>3755130</v>
      </c>
      <c r="T31" s="79">
        <v>3713656</v>
      </c>
      <c r="U31" s="79">
        <v>3630863</v>
      </c>
      <c r="V31" s="308">
        <v>3724268</v>
      </c>
      <c r="W31" s="265">
        <v>3529840</v>
      </c>
      <c r="X31" s="79">
        <v>3473104</v>
      </c>
      <c r="Y31" s="79">
        <v>3386794</v>
      </c>
      <c r="Z31" s="79">
        <v>3058691</v>
      </c>
      <c r="AA31" s="308">
        <v>3362107</v>
      </c>
      <c r="AB31" s="265">
        <v>2800366</v>
      </c>
      <c r="AC31" s="79">
        <v>2631773</v>
      </c>
      <c r="AD31" s="79">
        <v>2620575</v>
      </c>
      <c r="AE31" s="79">
        <v>2601552</v>
      </c>
      <c r="AF31" s="308">
        <v>2663566</v>
      </c>
      <c r="AG31" s="79">
        <v>2558174</v>
      </c>
      <c r="AH31" s="79">
        <v>2536844.1666666665</v>
      </c>
      <c r="AI31" s="79">
        <v>2555414</v>
      </c>
      <c r="AJ31" s="79">
        <v>2511226</v>
      </c>
      <c r="AK31" s="308">
        <v>2540414</v>
      </c>
      <c r="AL31" s="79">
        <v>2403135</v>
      </c>
      <c r="AM31" s="79">
        <v>2398016</v>
      </c>
      <c r="AN31" s="79">
        <v>2441160</v>
      </c>
      <c r="AO31" s="79">
        <v>2425301</v>
      </c>
      <c r="AP31" s="308">
        <v>2416903</v>
      </c>
      <c r="AQ31" s="79">
        <v>2405796</v>
      </c>
      <c r="AR31" s="79">
        <v>2361397</v>
      </c>
      <c r="AS31" s="79">
        <v>2414825</v>
      </c>
      <c r="AT31" s="79">
        <v>2449774</v>
      </c>
      <c r="AU31" s="308">
        <v>2407948</v>
      </c>
      <c r="AV31" s="79">
        <v>2442879</v>
      </c>
      <c r="AW31" s="79">
        <v>2415289.8333333335</v>
      </c>
      <c r="AX31" s="79">
        <v>2432438</v>
      </c>
      <c r="AY31" s="79"/>
      <c r="AZ31" s="308">
        <v>2430202.3333333335</v>
      </c>
    </row>
    <row r="32" spans="1:53" s="266" customFormat="1" ht="20.149999999999999" customHeight="1" thickBot="1">
      <c r="A32" s="333" t="s">
        <v>629</v>
      </c>
      <c r="B32" s="333" t="s">
        <v>629</v>
      </c>
      <c r="C32" s="281" t="s">
        <v>735</v>
      </c>
      <c r="D32" s="714" t="s">
        <v>735</v>
      </c>
      <c r="E32" s="714" t="s">
        <v>735</v>
      </c>
      <c r="F32" s="714" t="s">
        <v>735</v>
      </c>
      <c r="G32" s="334" t="s">
        <v>735</v>
      </c>
      <c r="H32" s="281">
        <v>72348</v>
      </c>
      <c r="I32" s="714">
        <v>88081</v>
      </c>
      <c r="J32" s="714">
        <v>135293</v>
      </c>
      <c r="K32" s="714">
        <v>182434</v>
      </c>
      <c r="L32" s="334">
        <f t="shared" si="37"/>
        <v>119539</v>
      </c>
      <c r="M32" s="281">
        <v>228650</v>
      </c>
      <c r="N32" s="714">
        <v>231084</v>
      </c>
      <c r="O32" s="715">
        <v>249377</v>
      </c>
      <c r="P32" s="714">
        <v>244407</v>
      </c>
      <c r="Q32" s="334">
        <v>238379</v>
      </c>
      <c r="R32" s="281">
        <v>203251</v>
      </c>
      <c r="S32" s="714">
        <v>189813</v>
      </c>
      <c r="T32" s="714">
        <v>215122</v>
      </c>
      <c r="U32" s="714">
        <v>230373</v>
      </c>
      <c r="V32" s="334">
        <v>209640</v>
      </c>
      <c r="W32" s="281">
        <v>235775</v>
      </c>
      <c r="X32" s="714">
        <v>269395</v>
      </c>
      <c r="Y32" s="714">
        <v>283652</v>
      </c>
      <c r="Z32" s="714">
        <v>228446</v>
      </c>
      <c r="AA32" s="334">
        <v>254317</v>
      </c>
      <c r="AB32" s="281">
        <v>201579</v>
      </c>
      <c r="AC32" s="714">
        <v>181250</v>
      </c>
      <c r="AD32" s="714">
        <v>188258</v>
      </c>
      <c r="AE32" s="714">
        <v>185126</v>
      </c>
      <c r="AF32" s="334">
        <v>189053</v>
      </c>
      <c r="AG32" s="714">
        <v>173299</v>
      </c>
      <c r="AH32" s="714">
        <v>165360</v>
      </c>
      <c r="AI32" s="714">
        <v>160427</v>
      </c>
      <c r="AJ32" s="714">
        <v>139066</v>
      </c>
      <c r="AK32" s="334">
        <v>159538</v>
      </c>
      <c r="AL32" s="714">
        <v>118538</v>
      </c>
      <c r="AM32" s="714">
        <v>105622</v>
      </c>
      <c r="AN32" s="714">
        <v>97786</v>
      </c>
      <c r="AO32" s="714">
        <v>86118</v>
      </c>
      <c r="AP32" s="334">
        <v>102016</v>
      </c>
      <c r="AQ32" s="714">
        <v>76464</v>
      </c>
      <c r="AR32" s="714">
        <v>70282</v>
      </c>
      <c r="AS32" s="714">
        <v>66453</v>
      </c>
      <c r="AT32" s="714">
        <v>60627</v>
      </c>
      <c r="AU32" s="334">
        <v>68456.458333333299</v>
      </c>
      <c r="AV32" s="714">
        <v>55114</v>
      </c>
      <c r="AW32" s="714">
        <v>48410.333333333336</v>
      </c>
      <c r="AX32" s="714">
        <v>45472</v>
      </c>
      <c r="AY32" s="714"/>
      <c r="AZ32" s="334">
        <v>49665.444444444445</v>
      </c>
    </row>
    <row r="33" spans="1:37" ht="20.149999999999999" customHeight="1"/>
    <row r="34" spans="1:37" ht="36">
      <c r="A34" s="282" t="s">
        <v>761</v>
      </c>
      <c r="B34" s="282" t="s">
        <v>762</v>
      </c>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283"/>
    </row>
    <row r="35" spans="1:37" ht="36">
      <c r="A35" s="282" t="s">
        <v>763</v>
      </c>
      <c r="B35" s="282" t="s">
        <v>764</v>
      </c>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283"/>
    </row>
    <row r="36" spans="1:37" ht="48">
      <c r="A36" s="284" t="s">
        <v>765</v>
      </c>
      <c r="B36" s="282" t="s">
        <v>766</v>
      </c>
      <c r="C36" s="285"/>
      <c r="D36" s="285"/>
      <c r="E36" s="285"/>
      <c r="F36" s="285"/>
      <c r="G36" s="285"/>
      <c r="H36" s="285"/>
      <c r="I36" s="285"/>
      <c r="J36" s="285"/>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row>
    <row r="37" spans="1:37" ht="132" customHeight="1">
      <c r="A37" s="284" t="s">
        <v>767</v>
      </c>
      <c r="B37" s="282" t="s">
        <v>768</v>
      </c>
      <c r="C37" s="285"/>
      <c r="D37" s="285"/>
      <c r="E37" s="285"/>
      <c r="F37" s="285"/>
      <c r="G37" s="285"/>
      <c r="H37" s="285"/>
      <c r="I37" s="285"/>
      <c r="J37" s="285"/>
      <c r="K37" s="285"/>
      <c r="L37" s="285"/>
      <c r="M37" s="285"/>
      <c r="N37" s="285"/>
      <c r="O37" s="284"/>
      <c r="P37" s="284"/>
      <c r="Q37" s="284"/>
      <c r="R37" s="284"/>
      <c r="S37" s="284"/>
      <c r="T37" s="284"/>
    </row>
    <row r="38" spans="1:37" ht="36">
      <c r="A38" s="284" t="s">
        <v>769</v>
      </c>
      <c r="B38" s="282" t="s">
        <v>770</v>
      </c>
      <c r="C38" s="285"/>
      <c r="D38" s="285"/>
      <c r="E38" s="285"/>
      <c r="F38" s="285"/>
      <c r="G38" s="285"/>
      <c r="H38" s="285"/>
      <c r="I38" s="285"/>
      <c r="J38" s="285"/>
      <c r="K38" s="285"/>
      <c r="L38" s="285"/>
      <c r="M38" s="285"/>
      <c r="N38" s="285"/>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283"/>
    </row>
    <row r="39" spans="1:37" ht="84">
      <c r="A39" s="282" t="s">
        <v>771</v>
      </c>
      <c r="B39" s="282" t="s">
        <v>772</v>
      </c>
    </row>
    <row r="40" spans="1:37" ht="20.149999999999999" customHeight="1"/>
    <row r="41" spans="1:37" ht="20.149999999999999" customHeight="1"/>
    <row r="42" spans="1:37" ht="20.149999999999999" customHeight="1"/>
    <row r="43" spans="1:37" ht="20.149999999999999" customHeight="1"/>
    <row r="44" spans="1:37" ht="20.149999999999999" customHeight="1"/>
    <row r="45" spans="1:37" ht="20.149999999999999" customHeight="1"/>
    <row r="46" spans="1:37" ht="20.149999999999999" customHeight="1"/>
    <row r="47" spans="1:37" ht="20.149999999999999" customHeight="1"/>
    <row r="48" spans="1:37"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89"/>
  <sheetViews>
    <sheetView showGridLines="0" zoomScale="73" zoomScaleNormal="73" zoomScaleSheetLayoutView="85" workbookViewId="0">
      <pane xSplit="1" ySplit="4" topLeftCell="AV43" activePane="bottomRight" state="frozen"/>
      <selection pane="topRight" activeCell="B1" sqref="B1"/>
      <selection pane="bottomLeft" activeCell="A5" sqref="A5"/>
      <selection pane="bottomRight" activeCell="AE84" sqref="AE84"/>
    </sheetView>
  </sheetViews>
  <sheetFormatPr defaultColWidth="9" defaultRowHeight="13" outlineLevelCol="1"/>
  <cols>
    <col min="1" max="1" width="53" style="4" customWidth="1"/>
    <col min="2" max="2" width="53" style="39" customWidth="1"/>
    <col min="3" max="3" width="11.5" style="5" hidden="1" customWidth="1" outlineLevel="1"/>
    <col min="4" max="4" width="12.4140625" style="5" hidden="1" customWidth="1" outlineLevel="1"/>
    <col min="5" max="5" width="13.58203125" style="5" hidden="1" customWidth="1" outlineLevel="1"/>
    <col min="6" max="6" width="12.08203125" style="5" hidden="1" customWidth="1" outlineLevel="1"/>
    <col min="7" max="9" width="13.58203125" style="5" hidden="1" customWidth="1" outlineLevel="1"/>
    <col min="10" max="10" width="12.08203125" style="5" hidden="1" customWidth="1" outlineLevel="1"/>
    <col min="11" max="13" width="13.58203125" style="5" hidden="1" customWidth="1" outlineLevel="1"/>
    <col min="14" max="14" width="12.08203125" style="5" hidden="1" customWidth="1" outlineLevel="1"/>
    <col min="15" max="30" width="13.58203125" style="5" hidden="1" customWidth="1" outlineLevel="1"/>
    <col min="31" max="31" width="13.58203125" style="5" customWidth="1" collapsed="1"/>
    <col min="32" max="54" width="13.58203125" style="5" customWidth="1"/>
    <col min="55"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0" customFormat="1" ht="42.75" customHeight="1">
      <c r="A2" s="437" t="s">
        <v>112</v>
      </c>
      <c r="B2" s="438" t="s">
        <v>113</v>
      </c>
      <c r="C2" s="991">
        <v>2012</v>
      </c>
      <c r="D2" s="991"/>
      <c r="E2" s="991"/>
      <c r="F2" s="992"/>
      <c r="G2" s="991">
        <v>2013</v>
      </c>
      <c r="H2" s="991"/>
      <c r="I2" s="991"/>
      <c r="J2" s="991"/>
      <c r="K2" s="988">
        <v>2014</v>
      </c>
      <c r="L2" s="991"/>
      <c r="M2" s="991"/>
      <c r="N2" s="992"/>
      <c r="O2" s="991">
        <v>2015</v>
      </c>
      <c r="P2" s="991"/>
      <c r="Q2" s="991"/>
      <c r="R2" s="992"/>
      <c r="S2" s="988">
        <v>2016</v>
      </c>
      <c r="T2" s="991"/>
      <c r="U2" s="991"/>
      <c r="V2" s="992"/>
      <c r="W2" s="988" t="s">
        <v>114</v>
      </c>
      <c r="X2" s="991"/>
      <c r="Y2" s="991"/>
      <c r="Z2" s="992"/>
      <c r="AA2" s="988" t="s">
        <v>115</v>
      </c>
      <c r="AB2" s="991"/>
      <c r="AC2" s="991"/>
      <c r="AD2" s="992"/>
      <c r="AE2" s="988" t="s">
        <v>116</v>
      </c>
      <c r="AF2" s="989"/>
      <c r="AG2" s="989"/>
      <c r="AH2" s="990"/>
      <c r="AI2" s="988">
        <v>2020</v>
      </c>
      <c r="AJ2" s="989"/>
      <c r="AK2" s="989"/>
      <c r="AL2" s="990"/>
      <c r="AM2" s="988">
        <v>2021</v>
      </c>
      <c r="AN2" s="989"/>
      <c r="AO2" s="989"/>
      <c r="AP2" s="990"/>
      <c r="AQ2" s="988">
        <v>2022</v>
      </c>
      <c r="AR2" s="989"/>
      <c r="AS2" s="989"/>
      <c r="AT2" s="990"/>
      <c r="AU2" s="988">
        <v>2023</v>
      </c>
      <c r="AV2" s="989"/>
      <c r="AW2" s="989"/>
      <c r="AX2" s="990"/>
      <c r="AY2" s="988">
        <v>2024</v>
      </c>
      <c r="AZ2" s="989"/>
      <c r="BA2" s="989"/>
      <c r="BB2" s="990"/>
      <c r="BC2" s="439"/>
      <c r="BD2" s="439"/>
      <c r="BE2" s="439"/>
      <c r="BF2" s="439"/>
      <c r="BG2" s="439"/>
      <c r="BH2" s="439"/>
      <c r="BI2" s="439"/>
      <c r="BJ2" s="439"/>
      <c r="BK2" s="439"/>
      <c r="BL2" s="439"/>
      <c r="BM2" s="439"/>
      <c r="BN2" s="439"/>
      <c r="BO2" s="439"/>
      <c r="BP2" s="439"/>
      <c r="BQ2" s="439"/>
      <c r="BR2" s="439"/>
      <c r="BS2" s="439"/>
      <c r="BT2" s="439"/>
      <c r="BU2" s="439"/>
      <c r="BV2" s="439"/>
      <c r="BW2" s="439"/>
      <c r="BX2" s="439"/>
      <c r="BY2" s="439"/>
      <c r="BZ2" s="439"/>
      <c r="CA2" s="439"/>
      <c r="CB2" s="439"/>
      <c r="CC2" s="439"/>
      <c r="CD2" s="439"/>
      <c r="CE2" s="439"/>
      <c r="CF2" s="439"/>
      <c r="CG2" s="439"/>
      <c r="CH2" s="439"/>
      <c r="CI2" s="439"/>
      <c r="CJ2" s="439"/>
      <c r="CK2" s="439"/>
      <c r="CL2" s="439"/>
      <c r="CM2" s="439"/>
      <c r="CN2" s="439"/>
      <c r="CO2" s="439"/>
      <c r="CP2" s="439"/>
      <c r="CQ2" s="439"/>
      <c r="CR2" s="439"/>
      <c r="CS2" s="439"/>
      <c r="CT2" s="439"/>
      <c r="CU2" s="439"/>
      <c r="CV2" s="439"/>
      <c r="CW2" s="439"/>
      <c r="CX2" s="439"/>
      <c r="CY2" s="439"/>
      <c r="CZ2" s="439"/>
      <c r="DA2" s="439"/>
      <c r="DB2" s="439"/>
      <c r="DC2" s="439"/>
      <c r="DD2" s="439"/>
      <c r="DE2" s="439"/>
      <c r="DF2" s="439"/>
      <c r="DG2" s="439"/>
      <c r="DH2" s="439"/>
      <c r="DI2" s="439"/>
      <c r="DJ2" s="439"/>
      <c r="DK2" s="439"/>
      <c r="DL2" s="439"/>
      <c r="DM2" s="439"/>
      <c r="DN2" s="439"/>
      <c r="DO2" s="439"/>
      <c r="DP2" s="439"/>
      <c r="DQ2" s="439"/>
      <c r="DR2" s="439"/>
      <c r="DS2" s="439"/>
      <c r="DT2" s="439"/>
      <c r="DU2" s="439"/>
      <c r="DV2" s="439"/>
      <c r="DW2" s="439"/>
      <c r="DX2" s="439"/>
      <c r="DY2" s="439"/>
      <c r="DZ2" s="439"/>
      <c r="EA2" s="439"/>
      <c r="EB2" s="439"/>
      <c r="EC2" s="439"/>
      <c r="ED2" s="439"/>
      <c r="EE2" s="439"/>
      <c r="EF2" s="439"/>
      <c r="EG2" s="439"/>
      <c r="EH2" s="439"/>
      <c r="EI2" s="439"/>
      <c r="EJ2" s="439"/>
      <c r="EK2" s="439"/>
      <c r="EL2" s="439"/>
      <c r="EM2" s="439"/>
      <c r="EN2" s="439"/>
      <c r="EO2" s="439"/>
      <c r="EP2" s="439"/>
      <c r="EQ2" s="439"/>
      <c r="ER2" s="439"/>
      <c r="ES2" s="439"/>
      <c r="ET2" s="439"/>
      <c r="EU2" s="439"/>
      <c r="EV2" s="439"/>
      <c r="EW2" s="439"/>
      <c r="EX2" s="439"/>
      <c r="EY2" s="439"/>
      <c r="EZ2" s="439"/>
      <c r="FA2" s="439"/>
      <c r="FB2" s="439"/>
      <c r="FC2" s="439"/>
      <c r="FD2" s="439"/>
      <c r="FE2" s="439"/>
      <c r="FF2" s="439"/>
      <c r="FG2" s="439"/>
      <c r="FH2" s="439"/>
      <c r="FI2" s="439"/>
      <c r="FJ2" s="439"/>
      <c r="FK2" s="439"/>
      <c r="FL2" s="439"/>
      <c r="FM2" s="439"/>
      <c r="FN2" s="439"/>
      <c r="FO2" s="439"/>
      <c r="FP2" s="439"/>
      <c r="FQ2" s="439"/>
      <c r="FR2" s="439"/>
      <c r="FS2" s="439"/>
      <c r="FT2" s="439"/>
      <c r="FU2" s="439"/>
      <c r="FV2" s="439"/>
      <c r="FW2" s="439"/>
      <c r="FX2" s="439"/>
      <c r="FY2" s="439"/>
      <c r="FZ2" s="439"/>
      <c r="GA2" s="439"/>
      <c r="GB2" s="439"/>
      <c r="GC2" s="439"/>
      <c r="GD2" s="439"/>
      <c r="GE2" s="439"/>
      <c r="GF2" s="439"/>
      <c r="GG2" s="439"/>
      <c r="GH2" s="439"/>
      <c r="GI2" s="439"/>
      <c r="GJ2" s="439"/>
      <c r="GK2" s="439"/>
      <c r="GL2" s="439"/>
      <c r="GM2" s="439"/>
      <c r="GN2" s="439"/>
      <c r="GO2" s="439"/>
      <c r="GP2" s="439"/>
      <c r="GQ2" s="439"/>
      <c r="GR2" s="439"/>
      <c r="GS2" s="439"/>
      <c r="GT2" s="439"/>
      <c r="GU2" s="439"/>
      <c r="GV2" s="439"/>
      <c r="GW2" s="439"/>
      <c r="GX2" s="439"/>
      <c r="GY2" s="439"/>
      <c r="GZ2" s="439"/>
      <c r="HA2" s="439"/>
      <c r="HB2" s="439"/>
      <c r="HC2" s="439"/>
      <c r="HD2" s="439"/>
      <c r="HE2" s="439"/>
      <c r="HF2" s="439"/>
      <c r="HG2" s="439"/>
      <c r="HH2" s="439"/>
      <c r="HI2" s="439"/>
      <c r="HJ2" s="439"/>
      <c r="HK2" s="439"/>
      <c r="HL2" s="439"/>
      <c r="HM2" s="439"/>
      <c r="HN2" s="439"/>
      <c r="HO2" s="439"/>
      <c r="HP2" s="439"/>
      <c r="HQ2" s="439"/>
      <c r="HR2" s="439"/>
      <c r="HS2" s="439"/>
      <c r="HT2" s="439"/>
      <c r="HU2" s="439"/>
      <c r="HV2" s="439"/>
      <c r="HW2" s="439"/>
      <c r="HX2" s="439"/>
      <c r="HY2" s="439"/>
      <c r="HZ2" s="439"/>
      <c r="IA2" s="439"/>
      <c r="IB2" s="439"/>
      <c r="IC2" s="439"/>
      <c r="ID2" s="439"/>
      <c r="IE2" s="439"/>
      <c r="IF2" s="439"/>
      <c r="IG2" s="439"/>
      <c r="IH2" s="439"/>
      <c r="II2" s="439"/>
      <c r="IJ2" s="439"/>
      <c r="IK2" s="439"/>
      <c r="IL2" s="439"/>
      <c r="IM2" s="439"/>
      <c r="IN2" s="439"/>
      <c r="IO2" s="439"/>
      <c r="IP2" s="439"/>
      <c r="IQ2" s="439"/>
      <c r="IR2" s="439"/>
      <c r="IS2" s="439"/>
      <c r="IT2" s="439"/>
      <c r="IU2" s="439"/>
      <c r="IV2" s="439"/>
      <c r="IW2" s="439"/>
      <c r="IX2" s="439"/>
      <c r="IY2" s="439"/>
      <c r="IZ2" s="439"/>
      <c r="JA2" s="439"/>
      <c r="JB2" s="439"/>
      <c r="JC2" s="439"/>
      <c r="JD2" s="439"/>
      <c r="JE2" s="439"/>
      <c r="JF2" s="439"/>
      <c r="JG2" s="439"/>
      <c r="JH2" s="439"/>
      <c r="JI2" s="439"/>
      <c r="JJ2" s="439"/>
      <c r="JK2" s="439"/>
      <c r="JL2" s="439"/>
      <c r="JM2" s="439"/>
      <c r="JN2" s="439"/>
      <c r="JO2" s="439"/>
      <c r="JP2" s="439"/>
      <c r="JQ2" s="439"/>
      <c r="JR2" s="439"/>
      <c r="JS2" s="439"/>
      <c r="JT2" s="439"/>
      <c r="JU2" s="439"/>
      <c r="JV2" s="439"/>
      <c r="JW2" s="439"/>
      <c r="JX2" s="439"/>
      <c r="JY2" s="439"/>
      <c r="JZ2" s="439"/>
      <c r="KA2" s="439"/>
      <c r="KB2" s="439"/>
      <c r="KC2" s="439"/>
      <c r="KD2" s="439"/>
      <c r="KE2" s="439"/>
      <c r="KF2" s="439"/>
      <c r="KG2" s="439"/>
      <c r="KH2" s="439"/>
      <c r="KI2" s="439"/>
      <c r="KJ2" s="439"/>
      <c r="KK2" s="439"/>
      <c r="KL2" s="439"/>
      <c r="KM2" s="439"/>
      <c r="KN2" s="439"/>
      <c r="KO2" s="439"/>
      <c r="KP2" s="439"/>
      <c r="KQ2" s="439"/>
      <c r="KR2" s="439"/>
      <c r="KS2" s="439"/>
      <c r="KT2" s="439"/>
      <c r="KU2" s="439"/>
      <c r="KV2" s="439"/>
      <c r="KW2" s="439"/>
      <c r="KX2" s="439"/>
      <c r="KY2" s="439"/>
      <c r="KZ2" s="439"/>
      <c r="LA2" s="439"/>
      <c r="LB2" s="439"/>
      <c r="LC2" s="439"/>
      <c r="LD2" s="439"/>
      <c r="LE2" s="439"/>
      <c r="LF2" s="439"/>
      <c r="LG2" s="439"/>
      <c r="LH2" s="439"/>
      <c r="LI2" s="439"/>
      <c r="LJ2" s="439"/>
      <c r="LK2" s="439"/>
      <c r="LL2" s="439"/>
      <c r="LM2" s="439"/>
      <c r="LN2" s="439"/>
      <c r="LO2" s="439"/>
      <c r="LP2" s="439"/>
      <c r="LQ2" s="439"/>
      <c r="LR2" s="439"/>
      <c r="LS2" s="439"/>
      <c r="LT2" s="439"/>
      <c r="LU2" s="439"/>
      <c r="LV2" s="439"/>
      <c r="LW2" s="439"/>
      <c r="LX2" s="439"/>
      <c r="LY2" s="439"/>
      <c r="LZ2" s="439"/>
      <c r="MA2" s="439"/>
      <c r="MB2" s="439"/>
      <c r="MC2" s="439"/>
      <c r="MD2" s="439"/>
      <c r="ME2" s="439"/>
      <c r="MF2" s="439"/>
      <c r="MG2" s="439"/>
      <c r="MH2" s="439"/>
      <c r="MI2" s="439"/>
      <c r="MJ2" s="439"/>
      <c r="MK2" s="439"/>
      <c r="ML2" s="439"/>
      <c r="MM2" s="439"/>
      <c r="MN2" s="439"/>
      <c r="MO2" s="439"/>
      <c r="MP2" s="439"/>
      <c r="MQ2" s="439"/>
      <c r="MR2" s="439"/>
      <c r="MS2" s="439"/>
      <c r="MT2" s="439"/>
      <c r="MU2" s="439"/>
      <c r="MV2" s="439"/>
      <c r="MW2" s="439"/>
      <c r="MX2" s="439"/>
      <c r="MY2" s="439"/>
      <c r="MZ2" s="439"/>
      <c r="NA2" s="439"/>
      <c r="NB2" s="439"/>
      <c r="NC2" s="439"/>
      <c r="ND2" s="439"/>
      <c r="NE2" s="439"/>
      <c r="NF2" s="439"/>
      <c r="NG2" s="439"/>
      <c r="NH2" s="439"/>
      <c r="NI2" s="439"/>
      <c r="NJ2" s="439"/>
      <c r="NK2" s="439"/>
      <c r="NL2" s="439"/>
      <c r="NM2" s="439"/>
      <c r="NN2" s="439"/>
      <c r="NO2" s="439"/>
      <c r="NP2" s="439"/>
      <c r="NQ2" s="439"/>
      <c r="NR2" s="439"/>
      <c r="NS2" s="439"/>
      <c r="NT2" s="439"/>
      <c r="NU2" s="439"/>
      <c r="NV2" s="439"/>
      <c r="NW2" s="439"/>
      <c r="NX2" s="439"/>
      <c r="NY2" s="439"/>
      <c r="NZ2" s="439"/>
      <c r="OA2" s="439"/>
      <c r="OB2" s="439"/>
      <c r="OC2" s="439"/>
      <c r="OD2" s="439"/>
      <c r="OE2" s="439"/>
      <c r="OF2" s="439"/>
      <c r="OG2" s="439"/>
      <c r="OH2" s="439"/>
      <c r="OI2" s="439"/>
      <c r="OJ2" s="439"/>
      <c r="OK2" s="439"/>
      <c r="OL2" s="439"/>
      <c r="OM2" s="439"/>
      <c r="ON2" s="439"/>
      <c r="OO2" s="439"/>
      <c r="OP2" s="439"/>
      <c r="OQ2" s="439"/>
      <c r="OR2" s="439"/>
      <c r="OS2" s="439"/>
      <c r="OT2" s="439"/>
      <c r="OU2" s="439"/>
      <c r="OV2" s="439"/>
      <c r="OW2" s="439"/>
      <c r="OX2" s="439"/>
      <c r="OY2" s="439"/>
      <c r="OZ2" s="439"/>
      <c r="PA2" s="439"/>
      <c r="PB2" s="439"/>
      <c r="PC2" s="439"/>
      <c r="PD2" s="439"/>
      <c r="PE2" s="439"/>
      <c r="PF2" s="439"/>
      <c r="PG2" s="439"/>
      <c r="PH2" s="439"/>
      <c r="PI2" s="439"/>
      <c r="PJ2" s="439"/>
      <c r="PK2" s="439"/>
      <c r="PL2" s="439"/>
      <c r="PM2" s="439"/>
      <c r="PN2" s="439"/>
      <c r="PO2" s="439"/>
      <c r="PP2" s="439"/>
      <c r="PQ2" s="439"/>
      <c r="PR2" s="439"/>
      <c r="PS2" s="439"/>
      <c r="PT2" s="439"/>
      <c r="PU2" s="439"/>
      <c r="PV2" s="439"/>
      <c r="PW2" s="439"/>
      <c r="PX2" s="439"/>
      <c r="PY2" s="439"/>
      <c r="PZ2" s="439"/>
      <c r="QA2" s="439"/>
      <c r="QB2" s="439"/>
      <c r="QC2" s="439"/>
      <c r="QD2" s="439"/>
      <c r="QE2" s="439"/>
      <c r="QF2" s="439"/>
      <c r="QG2" s="439"/>
      <c r="QH2" s="439"/>
      <c r="QI2" s="439"/>
      <c r="QJ2" s="439"/>
      <c r="QK2" s="439"/>
      <c r="QL2" s="439"/>
      <c r="QM2" s="439"/>
      <c r="QN2" s="439"/>
      <c r="QO2" s="439"/>
      <c r="QP2" s="439"/>
      <c r="QQ2" s="439"/>
      <c r="QR2" s="439"/>
      <c r="QS2" s="439"/>
      <c r="QT2" s="439"/>
      <c r="QU2" s="439"/>
      <c r="QV2" s="439"/>
      <c r="QW2" s="439"/>
      <c r="QX2" s="439"/>
      <c r="QY2" s="439"/>
      <c r="QZ2" s="439"/>
      <c r="RA2" s="439"/>
      <c r="RB2" s="439"/>
      <c r="RC2" s="439"/>
      <c r="RD2" s="439"/>
      <c r="RE2" s="439"/>
      <c r="RF2" s="439"/>
      <c r="RG2" s="439"/>
      <c r="RH2" s="439"/>
      <c r="RI2" s="439"/>
      <c r="RJ2" s="439"/>
      <c r="RK2" s="439"/>
      <c r="RL2" s="439"/>
      <c r="RM2" s="439"/>
      <c r="RN2" s="439"/>
      <c r="RO2" s="439"/>
    </row>
    <row r="3" spans="1:483" s="447" customFormat="1" ht="14.5">
      <c r="A3" s="441" t="s">
        <v>21</v>
      </c>
      <c r="B3" s="441" t="s">
        <v>21</v>
      </c>
      <c r="C3" s="442" t="s">
        <v>117</v>
      </c>
      <c r="D3" s="443" t="s">
        <v>118</v>
      </c>
      <c r="E3" s="443" t="s">
        <v>119</v>
      </c>
      <c r="F3" s="444" t="s">
        <v>120</v>
      </c>
      <c r="G3" s="443" t="s">
        <v>117</v>
      </c>
      <c r="H3" s="443" t="s">
        <v>118</v>
      </c>
      <c r="I3" s="443" t="s">
        <v>119</v>
      </c>
      <c r="J3" s="444" t="s">
        <v>120</v>
      </c>
      <c r="K3" s="442" t="s">
        <v>117</v>
      </c>
      <c r="L3" s="443" t="s">
        <v>118</v>
      </c>
      <c r="M3" s="443" t="s">
        <v>119</v>
      </c>
      <c r="N3" s="445" t="s">
        <v>121</v>
      </c>
      <c r="O3" s="443" t="s">
        <v>117</v>
      </c>
      <c r="P3" s="443" t="s">
        <v>118</v>
      </c>
      <c r="Q3" s="443" t="s">
        <v>119</v>
      </c>
      <c r="R3" s="444" t="s">
        <v>120</v>
      </c>
      <c r="S3" s="443" t="s">
        <v>117</v>
      </c>
      <c r="T3" s="443" t="s">
        <v>118</v>
      </c>
      <c r="U3" s="443" t="s">
        <v>119</v>
      </c>
      <c r="V3" s="444" t="s">
        <v>120</v>
      </c>
      <c r="W3" s="443" t="s">
        <v>117</v>
      </c>
      <c r="X3" s="443" t="s">
        <v>118</v>
      </c>
      <c r="Y3" s="443" t="s">
        <v>119</v>
      </c>
      <c r="Z3" s="444" t="s">
        <v>120</v>
      </c>
      <c r="AA3" s="446" t="s">
        <v>117</v>
      </c>
      <c r="AB3" s="443" t="s">
        <v>118</v>
      </c>
      <c r="AC3" s="443" t="s">
        <v>119</v>
      </c>
      <c r="AD3" s="444" t="s">
        <v>120</v>
      </c>
      <c r="AE3" s="446" t="s">
        <v>117</v>
      </c>
      <c r="AF3" s="443" t="s">
        <v>118</v>
      </c>
      <c r="AG3" s="443" t="s">
        <v>119</v>
      </c>
      <c r="AH3" s="444" t="s">
        <v>120</v>
      </c>
      <c r="AI3" s="446" t="s">
        <v>117</v>
      </c>
      <c r="AJ3" s="443" t="s">
        <v>118</v>
      </c>
      <c r="AK3" s="443" t="s">
        <v>119</v>
      </c>
      <c r="AL3" s="444" t="s">
        <v>120</v>
      </c>
      <c r="AM3" s="446" t="s">
        <v>117</v>
      </c>
      <c r="AN3" s="443" t="s">
        <v>118</v>
      </c>
      <c r="AO3" s="443" t="s">
        <v>119</v>
      </c>
      <c r="AP3" s="444" t="s">
        <v>120</v>
      </c>
      <c r="AQ3" s="446" t="s">
        <v>117</v>
      </c>
      <c r="AR3" s="443" t="s">
        <v>118</v>
      </c>
      <c r="AS3" s="443" t="s">
        <v>119</v>
      </c>
      <c r="AT3" s="444" t="s">
        <v>120</v>
      </c>
      <c r="AU3" s="446" t="s">
        <v>117</v>
      </c>
      <c r="AV3" s="443" t="s">
        <v>118</v>
      </c>
      <c r="AW3" s="443" t="s">
        <v>119</v>
      </c>
      <c r="AX3" s="444" t="s">
        <v>120</v>
      </c>
      <c r="AY3" s="446" t="s">
        <v>117</v>
      </c>
      <c r="AZ3" s="443" t="s">
        <v>118</v>
      </c>
      <c r="BA3" s="443" t="s">
        <v>119</v>
      </c>
      <c r="BB3" s="444" t="s">
        <v>120</v>
      </c>
    </row>
    <row r="4" spans="1:483" s="452" customFormat="1" ht="16.5" customHeight="1">
      <c r="A4" s="448"/>
      <c r="B4" s="449"/>
      <c r="C4" s="450" t="s">
        <v>122</v>
      </c>
      <c r="D4" s="450" t="s">
        <v>123</v>
      </c>
      <c r="E4" s="421" t="s">
        <v>124</v>
      </c>
      <c r="F4" s="451" t="s">
        <v>125</v>
      </c>
      <c r="G4" s="450" t="s">
        <v>122</v>
      </c>
      <c r="H4" s="450" t="s">
        <v>123</v>
      </c>
      <c r="I4" s="421" t="s">
        <v>124</v>
      </c>
      <c r="J4" s="451" t="s">
        <v>125</v>
      </c>
      <c r="K4" s="450" t="s">
        <v>122</v>
      </c>
      <c r="L4" s="450" t="s">
        <v>123</v>
      </c>
      <c r="M4" s="421" t="s">
        <v>124</v>
      </c>
      <c r="N4" s="451" t="s">
        <v>126</v>
      </c>
      <c r="O4" s="450" t="s">
        <v>122</v>
      </c>
      <c r="P4" s="450" t="s">
        <v>123</v>
      </c>
      <c r="Q4" s="421" t="s">
        <v>124</v>
      </c>
      <c r="R4" s="451" t="s">
        <v>125</v>
      </c>
      <c r="S4" s="450" t="s">
        <v>122</v>
      </c>
      <c r="T4" s="450" t="s">
        <v>123</v>
      </c>
      <c r="U4" s="421" t="s">
        <v>124</v>
      </c>
      <c r="V4" s="451" t="s">
        <v>125</v>
      </c>
      <c r="W4" s="450" t="s">
        <v>122</v>
      </c>
      <c r="X4" s="450" t="s">
        <v>123</v>
      </c>
      <c r="Y4" s="421" t="s">
        <v>124</v>
      </c>
      <c r="Z4" s="451" t="s">
        <v>125</v>
      </c>
      <c r="AA4" s="450" t="s">
        <v>122</v>
      </c>
      <c r="AB4" s="450" t="s">
        <v>123</v>
      </c>
      <c r="AC4" s="421" t="s">
        <v>124</v>
      </c>
      <c r="AD4" s="451" t="s">
        <v>125</v>
      </c>
      <c r="AE4" s="450" t="s">
        <v>122</v>
      </c>
      <c r="AF4" s="450" t="s">
        <v>123</v>
      </c>
      <c r="AG4" s="421" t="s">
        <v>124</v>
      </c>
      <c r="AH4" s="451" t="s">
        <v>125</v>
      </c>
      <c r="AI4" s="450" t="s">
        <v>122</v>
      </c>
      <c r="AJ4" s="450" t="s">
        <v>123</v>
      </c>
      <c r="AK4" s="421" t="s">
        <v>124</v>
      </c>
      <c r="AL4" s="451" t="s">
        <v>125</v>
      </c>
      <c r="AM4" s="450" t="s">
        <v>122</v>
      </c>
      <c r="AN4" s="450" t="s">
        <v>123</v>
      </c>
      <c r="AO4" s="421" t="s">
        <v>124</v>
      </c>
      <c r="AP4" s="451" t="s">
        <v>125</v>
      </c>
      <c r="AQ4" s="450" t="s">
        <v>122</v>
      </c>
      <c r="AR4" s="450" t="s">
        <v>123</v>
      </c>
      <c r="AS4" s="421" t="s">
        <v>124</v>
      </c>
      <c r="AT4" s="451" t="s">
        <v>125</v>
      </c>
      <c r="AU4" s="450" t="s">
        <v>122</v>
      </c>
      <c r="AV4" s="450" t="s">
        <v>123</v>
      </c>
      <c r="AW4" s="421" t="s">
        <v>124</v>
      </c>
      <c r="AX4" s="451" t="s">
        <v>125</v>
      </c>
      <c r="AY4" s="450" t="s">
        <v>122</v>
      </c>
      <c r="AZ4" s="450" t="s">
        <v>123</v>
      </c>
      <c r="BA4" s="421" t="s">
        <v>124</v>
      </c>
      <c r="BB4" s="451" t="s">
        <v>125</v>
      </c>
    </row>
    <row r="5" spans="1:483" s="397" customFormat="1" ht="38.25" customHeight="1">
      <c r="A5" s="395" t="s">
        <v>127</v>
      </c>
      <c r="B5" s="396" t="s">
        <v>128</v>
      </c>
      <c r="C5" s="434"/>
      <c r="D5" s="434"/>
      <c r="E5" s="435"/>
      <c r="F5" s="436"/>
      <c r="G5" s="434"/>
      <c r="H5" s="434"/>
      <c r="I5" s="435"/>
      <c r="J5" s="436"/>
      <c r="K5" s="434"/>
      <c r="L5" s="434"/>
      <c r="M5" s="435"/>
      <c r="N5" s="436"/>
      <c r="O5" s="434"/>
      <c r="P5" s="434"/>
      <c r="Q5" s="435"/>
      <c r="R5" s="436"/>
      <c r="S5" s="434"/>
      <c r="T5" s="434"/>
      <c r="U5" s="435"/>
      <c r="V5" s="436"/>
      <c r="W5" s="434"/>
      <c r="X5" s="434"/>
      <c r="Y5" s="435"/>
      <c r="Z5" s="436"/>
      <c r="AA5" s="434"/>
      <c r="AB5" s="434"/>
      <c r="AC5" s="435"/>
      <c r="AD5" s="436"/>
      <c r="AE5" s="434"/>
      <c r="AF5" s="434"/>
      <c r="AG5" s="435"/>
      <c r="AH5" s="436"/>
      <c r="AI5" s="434"/>
      <c r="AJ5" s="434"/>
      <c r="AK5" s="435"/>
      <c r="AL5" s="436"/>
      <c r="AM5" s="434"/>
      <c r="AN5" s="434"/>
      <c r="AO5" s="435"/>
      <c r="AP5" s="436"/>
      <c r="AQ5" s="434"/>
      <c r="AR5" s="434"/>
      <c r="AS5" s="435"/>
      <c r="AT5" s="436"/>
      <c r="AU5" s="434"/>
      <c r="AV5" s="854"/>
      <c r="AW5" s="435"/>
      <c r="AX5" s="436"/>
      <c r="AY5" s="434"/>
      <c r="AZ5" s="854"/>
      <c r="BA5" s="435"/>
      <c r="BB5" s="436"/>
      <c r="BC5" s="839"/>
      <c r="BD5" s="840"/>
    </row>
    <row r="6" spans="1:483" s="7" customFormat="1" ht="20.149999999999999" customHeight="1">
      <c r="A6" s="27" t="s">
        <v>129</v>
      </c>
      <c r="B6" s="125" t="s">
        <v>130</v>
      </c>
      <c r="C6" s="17">
        <f>415.308</f>
        <v>415.30799999999999</v>
      </c>
      <c r="D6" s="17">
        <f>419.479</f>
        <v>419.47899999999998</v>
      </c>
      <c r="E6" s="30">
        <f>(425068)*0.001</f>
        <v>425.06799999999998</v>
      </c>
      <c r="F6" s="208">
        <f>(420060)*0.001</f>
        <v>420.06</v>
      </c>
      <c r="G6" s="30">
        <f>(419894)*0.001</f>
        <v>419.89400000000001</v>
      </c>
      <c r="H6" s="30">
        <f>(418521)*0.001</f>
        <v>418.52100000000002</v>
      </c>
      <c r="I6" s="30">
        <f>(409736)*0.001</f>
        <v>409.73599999999999</v>
      </c>
      <c r="J6" s="208">
        <f>(407579)*0.001</f>
        <v>407.57900000000001</v>
      </c>
      <c r="K6" s="40">
        <f>(395393)*0.001</f>
        <v>395.39300000000003</v>
      </c>
      <c r="L6" s="17">
        <v>384.8</v>
      </c>
      <c r="M6" s="17">
        <v>417</v>
      </c>
      <c r="N6" s="208">
        <v>421.1</v>
      </c>
      <c r="O6" s="17">
        <v>416.6</v>
      </c>
      <c r="P6" s="17">
        <v>401.1</v>
      </c>
      <c r="Q6" s="17">
        <v>377</v>
      </c>
      <c r="R6" s="208">
        <v>371</v>
      </c>
      <c r="S6" s="86">
        <v>356.7</v>
      </c>
      <c r="T6" s="86">
        <v>353.3</v>
      </c>
      <c r="U6" s="86">
        <v>350.4</v>
      </c>
      <c r="V6" s="208">
        <v>350.9</v>
      </c>
      <c r="W6" s="86">
        <v>342.2</v>
      </c>
      <c r="X6" s="86">
        <v>332.9</v>
      </c>
      <c r="Y6" s="86">
        <v>324</v>
      </c>
      <c r="Z6" s="208">
        <v>325.3</v>
      </c>
      <c r="AA6" s="86">
        <v>312.5</v>
      </c>
      <c r="AB6" s="86">
        <v>294.10000000000002</v>
      </c>
      <c r="AC6" s="86">
        <v>275.8</v>
      </c>
      <c r="AD6" s="208">
        <v>264.5</v>
      </c>
      <c r="AE6" s="86">
        <v>258.2</v>
      </c>
      <c r="AF6" s="86">
        <v>249.4</v>
      </c>
      <c r="AG6" s="34">
        <v>248.8</v>
      </c>
      <c r="AH6" s="208">
        <v>262.7</v>
      </c>
      <c r="AI6" s="86">
        <v>267.39999999999998</v>
      </c>
      <c r="AJ6" s="86">
        <v>277</v>
      </c>
      <c r="AK6" s="34">
        <v>288</v>
      </c>
      <c r="AL6" s="208">
        <v>293.39999999999998</v>
      </c>
      <c r="AM6" s="86">
        <v>297.3</v>
      </c>
      <c r="AN6" s="86">
        <v>288.60000000000002</v>
      </c>
      <c r="AO6" s="34">
        <v>279.89999999999998</v>
      </c>
      <c r="AP6" s="208">
        <v>284</v>
      </c>
      <c r="AQ6" s="86">
        <v>292.7</v>
      </c>
      <c r="AR6" s="751">
        <v>288.8</v>
      </c>
      <c r="AS6" s="751">
        <v>278.5</v>
      </c>
      <c r="AT6" s="208">
        <v>282</v>
      </c>
      <c r="AU6" s="86">
        <v>278.7</v>
      </c>
      <c r="AV6" s="751">
        <v>273.3</v>
      </c>
      <c r="AW6" s="751">
        <v>287.2</v>
      </c>
      <c r="AX6" s="971" t="s">
        <v>393</v>
      </c>
      <c r="AY6" s="972" t="s">
        <v>393</v>
      </c>
      <c r="AZ6" s="973" t="s">
        <v>393</v>
      </c>
      <c r="BA6" s="751"/>
      <c r="BB6" s="208"/>
      <c r="BC6" s="839"/>
      <c r="BD6" s="840"/>
    </row>
    <row r="7" spans="1:483" s="7" customFormat="1" ht="20.149999999999999" customHeight="1">
      <c r="A7" s="27" t="s">
        <v>775</v>
      </c>
      <c r="B7" s="125" t="s">
        <v>131</v>
      </c>
      <c r="C7" s="17">
        <f>258.7</f>
        <v>258.7</v>
      </c>
      <c r="D7" s="17">
        <f>258.506</f>
        <v>258.50599999999997</v>
      </c>
      <c r="E7" s="30">
        <f>(257043)*0.001</f>
        <v>257.04300000000001</v>
      </c>
      <c r="F7" s="208">
        <f>(276407)*0.001</f>
        <v>276.40699999999998</v>
      </c>
      <c r="G7" s="30">
        <f>(266252)*0.001</f>
        <v>266.25200000000001</v>
      </c>
      <c r="H7" s="30">
        <f>(265011)*0.001</f>
        <v>265.01100000000002</v>
      </c>
      <c r="I7" s="30">
        <f>(252063)*0.001</f>
        <v>252.06300000000002</v>
      </c>
      <c r="J7" s="208">
        <f>(251152)*0.001</f>
        <v>251.15200000000002</v>
      </c>
      <c r="K7" s="40">
        <f>(248178)*0.001</f>
        <v>248.178</v>
      </c>
      <c r="L7" s="16">
        <v>3010.6</v>
      </c>
      <c r="M7" s="16">
        <v>2933.8</v>
      </c>
      <c r="N7" s="208">
        <v>2714.9</v>
      </c>
      <c r="O7" s="17">
        <v>2855.8</v>
      </c>
      <c r="P7" s="17">
        <v>2541.1999999999998</v>
      </c>
      <c r="Q7" s="16">
        <v>2535.1999999999998</v>
      </c>
      <c r="R7" s="208">
        <v>2548.6</v>
      </c>
      <c r="S7" s="86">
        <v>3002.2</v>
      </c>
      <c r="T7" s="86">
        <v>2931</v>
      </c>
      <c r="U7" s="86">
        <v>2882.8</v>
      </c>
      <c r="V7" s="208">
        <v>2964.3</v>
      </c>
      <c r="W7" s="86">
        <v>2885.9</v>
      </c>
      <c r="X7" s="86">
        <v>2904.7</v>
      </c>
      <c r="Y7" s="86">
        <v>2866.4</v>
      </c>
      <c r="Z7" s="208">
        <v>2867.1</v>
      </c>
      <c r="AA7" s="86">
        <v>2797</v>
      </c>
      <c r="AB7" s="86">
        <v>4419.8999999999996</v>
      </c>
      <c r="AC7" s="86">
        <v>4438</v>
      </c>
      <c r="AD7" s="208">
        <v>4792.2</v>
      </c>
      <c r="AE7" s="86">
        <v>4720.3</v>
      </c>
      <c r="AF7" s="86">
        <v>4782.7</v>
      </c>
      <c r="AG7" s="34">
        <v>4797.3</v>
      </c>
      <c r="AH7" s="208">
        <v>4976.8999999999996</v>
      </c>
      <c r="AI7" s="86">
        <v>5004.3</v>
      </c>
      <c r="AJ7" s="86">
        <v>5041.8</v>
      </c>
      <c r="AK7" s="34">
        <v>5135.3999999999996</v>
      </c>
      <c r="AL7" s="208">
        <v>5391</v>
      </c>
      <c r="AM7" s="86">
        <v>2877.2</v>
      </c>
      <c r="AN7" s="86">
        <v>3072.7</v>
      </c>
      <c r="AO7" s="34">
        <v>3206.2</v>
      </c>
      <c r="AP7" s="208">
        <v>3326.9</v>
      </c>
      <c r="AQ7" s="86">
        <v>3375.4</v>
      </c>
      <c r="AR7" s="751">
        <v>3566.7</v>
      </c>
      <c r="AS7" s="751">
        <v>3481</v>
      </c>
      <c r="AT7" s="208">
        <v>3600.9</v>
      </c>
      <c r="AU7" s="86">
        <v>3601.5</v>
      </c>
      <c r="AV7" s="768">
        <v>3592.7</v>
      </c>
      <c r="AW7" s="768">
        <v>5680.9</v>
      </c>
      <c r="AX7" s="241">
        <v>6494.3</v>
      </c>
      <c r="AY7" s="215">
        <v>6571.9</v>
      </c>
      <c r="AZ7" s="768">
        <v>6729.2</v>
      </c>
      <c r="BA7" s="768"/>
      <c r="BB7" s="241"/>
      <c r="BC7" s="839"/>
      <c r="BD7" s="959"/>
      <c r="BE7" s="842"/>
    </row>
    <row r="8" spans="1:483" s="7" customFormat="1" ht="20.149999999999999" customHeight="1">
      <c r="A8" s="27" t="s">
        <v>132</v>
      </c>
      <c r="B8" s="125" t="s">
        <v>133</v>
      </c>
      <c r="C8" s="17">
        <f>2422.989</f>
        <v>2422.989</v>
      </c>
      <c r="D8" s="17">
        <f>2575.456</f>
        <v>2575.4560000000001</v>
      </c>
      <c r="E8" s="17">
        <f>(2575456)*0.001</f>
        <v>2575.4560000000001</v>
      </c>
      <c r="F8" s="209">
        <f>(2568033)*0.001</f>
        <v>2568.0329999999999</v>
      </c>
      <c r="G8" s="17">
        <f>(2568033)*0.001</f>
        <v>2568.0329999999999</v>
      </c>
      <c r="H8" s="17">
        <f>(2568033)*0.001</f>
        <v>2568.0329999999999</v>
      </c>
      <c r="I8" s="17">
        <f>(2637594)*0.001</f>
        <v>2637.5940000000001</v>
      </c>
      <c r="J8" s="209">
        <f>(2602804)*0.001</f>
        <v>2602.8040000000001</v>
      </c>
      <c r="K8" s="17">
        <f>(2602804)*0.001</f>
        <v>2602.8040000000001</v>
      </c>
      <c r="L8" s="16">
        <v>11735.5</v>
      </c>
      <c r="M8" s="16">
        <v>11735.5</v>
      </c>
      <c r="N8" s="209">
        <v>10585.3</v>
      </c>
      <c r="O8" s="17">
        <v>10831.2</v>
      </c>
      <c r="P8" s="17">
        <v>10606.4</v>
      </c>
      <c r="Q8" s="16">
        <v>10606.4</v>
      </c>
      <c r="R8" s="209">
        <v>10606.4</v>
      </c>
      <c r="S8" s="86">
        <v>11675.3</v>
      </c>
      <c r="T8" s="86">
        <v>10975.2</v>
      </c>
      <c r="U8" s="86">
        <v>10975.3</v>
      </c>
      <c r="V8" s="209">
        <v>10975.4</v>
      </c>
      <c r="W8" s="86">
        <v>10975.4</v>
      </c>
      <c r="X8" s="86">
        <v>10975.4</v>
      </c>
      <c r="Y8" s="86">
        <v>10975.4</v>
      </c>
      <c r="Z8" s="209">
        <v>11041.7</v>
      </c>
      <c r="AA8" s="86">
        <v>11060.5</v>
      </c>
      <c r="AB8" s="86">
        <v>11530</v>
      </c>
      <c r="AC8" s="86">
        <v>11519.3</v>
      </c>
      <c r="AD8" s="209">
        <v>11309.4</v>
      </c>
      <c r="AE8" s="86">
        <v>11309.4</v>
      </c>
      <c r="AF8" s="86">
        <v>11316.4</v>
      </c>
      <c r="AG8" s="34">
        <v>11316.4</v>
      </c>
      <c r="AH8" s="209">
        <v>11336.4</v>
      </c>
      <c r="AI8" s="86">
        <v>11349.5</v>
      </c>
      <c r="AJ8" s="86">
        <v>11349.5</v>
      </c>
      <c r="AK8" s="34">
        <v>11801.8</v>
      </c>
      <c r="AL8" s="209">
        <v>11808.4</v>
      </c>
      <c r="AM8" s="86">
        <v>11808.4</v>
      </c>
      <c r="AN8" s="86">
        <v>10664.9</v>
      </c>
      <c r="AO8" s="34">
        <v>10809</v>
      </c>
      <c r="AP8" s="209">
        <v>10802</v>
      </c>
      <c r="AQ8" s="86">
        <v>10831.9</v>
      </c>
      <c r="AR8" s="751">
        <v>10788</v>
      </c>
      <c r="AS8" s="751">
        <v>10810.9</v>
      </c>
      <c r="AT8" s="209">
        <v>10818.1</v>
      </c>
      <c r="AU8" s="86">
        <v>10818.2</v>
      </c>
      <c r="AV8" s="768">
        <v>10818.2</v>
      </c>
      <c r="AW8" s="768">
        <v>11276.7</v>
      </c>
      <c r="AX8" s="241">
        <v>10980.2</v>
      </c>
      <c r="AY8" s="215">
        <v>10975.4</v>
      </c>
      <c r="AZ8" s="768">
        <v>10971.2</v>
      </c>
      <c r="BA8" s="768"/>
      <c r="BB8" s="241"/>
      <c r="BC8" s="839"/>
      <c r="BD8" s="959"/>
      <c r="BE8" s="842"/>
    </row>
    <row r="9" spans="1:483" s="7" customFormat="1" ht="20.149999999999999" customHeight="1">
      <c r="A9" s="27" t="s">
        <v>134</v>
      </c>
      <c r="B9" s="126" t="s">
        <v>135</v>
      </c>
      <c r="C9" s="18">
        <f>0</f>
        <v>0</v>
      </c>
      <c r="D9" s="18">
        <v>0</v>
      </c>
      <c r="E9" s="18">
        <f>0</f>
        <v>0</v>
      </c>
      <c r="F9" s="210">
        <v>0</v>
      </c>
      <c r="G9" s="18">
        <f>0</f>
        <v>0</v>
      </c>
      <c r="H9" s="18">
        <f>0</f>
        <v>0</v>
      </c>
      <c r="I9" s="18">
        <f>0</f>
        <v>0</v>
      </c>
      <c r="J9" s="210">
        <f>0</f>
        <v>0</v>
      </c>
      <c r="K9" s="31">
        <v>0</v>
      </c>
      <c r="L9" s="16">
        <v>4482</v>
      </c>
      <c r="M9" s="16">
        <v>4331.8999999999996</v>
      </c>
      <c r="N9" s="210">
        <v>4255.8</v>
      </c>
      <c r="O9" s="20">
        <v>4002.2</v>
      </c>
      <c r="P9" s="20">
        <v>3944.6</v>
      </c>
      <c r="Q9" s="16">
        <v>3791.6</v>
      </c>
      <c r="R9" s="210">
        <v>3638.5</v>
      </c>
      <c r="S9" s="34">
        <v>3488.7</v>
      </c>
      <c r="T9" s="34">
        <v>3337.3</v>
      </c>
      <c r="U9" s="34">
        <v>3184.2</v>
      </c>
      <c r="V9" s="210">
        <v>3031.2</v>
      </c>
      <c r="W9" s="34">
        <v>2883.1</v>
      </c>
      <c r="X9" s="34">
        <v>2762.8</v>
      </c>
      <c r="Y9" s="34">
        <v>2660.5</v>
      </c>
      <c r="Z9" s="210">
        <v>2557.3000000000002</v>
      </c>
      <c r="AA9" s="86">
        <v>2458.6</v>
      </c>
      <c r="AB9" s="85">
        <v>2358.6999999999998</v>
      </c>
      <c r="AC9" s="86">
        <v>2257.6999999999998</v>
      </c>
      <c r="AD9" s="210">
        <v>2212.1999999999998</v>
      </c>
      <c r="AE9" s="86">
        <v>2111.6</v>
      </c>
      <c r="AF9" s="34">
        <v>2009.9</v>
      </c>
      <c r="AG9" s="34">
        <v>1907</v>
      </c>
      <c r="AH9" s="210">
        <v>1821.4</v>
      </c>
      <c r="AI9" s="86">
        <v>1723.5</v>
      </c>
      <c r="AJ9" s="34">
        <v>1620.6</v>
      </c>
      <c r="AK9" s="34">
        <v>1516.7</v>
      </c>
      <c r="AL9" s="209">
        <v>1412.7</v>
      </c>
      <c r="AM9" s="86">
        <v>1310.9</v>
      </c>
      <c r="AN9" s="86">
        <v>1208</v>
      </c>
      <c r="AO9" s="34">
        <v>1110</v>
      </c>
      <c r="AP9" s="209">
        <v>1005.7</v>
      </c>
      <c r="AQ9" s="86">
        <v>903.6</v>
      </c>
      <c r="AR9" s="751">
        <v>858.2</v>
      </c>
      <c r="AS9" s="751">
        <v>750.9</v>
      </c>
      <c r="AT9" s="209">
        <v>643.70000000000005</v>
      </c>
      <c r="AU9" s="86">
        <v>538.70000000000005</v>
      </c>
      <c r="AV9" s="767">
        <v>432.6</v>
      </c>
      <c r="AW9" s="768">
        <v>325.3</v>
      </c>
      <c r="AX9" s="241">
        <v>300.2</v>
      </c>
      <c r="AY9" s="215">
        <v>191.1</v>
      </c>
      <c r="AZ9" s="767">
        <v>81.3</v>
      </c>
      <c r="BA9" s="768"/>
      <c r="BB9" s="241"/>
      <c r="BC9" s="839"/>
      <c r="BD9" s="959"/>
      <c r="BE9" s="842"/>
    </row>
    <row r="10" spans="1:483" s="7" customFormat="1" ht="20.149999999999999" customHeight="1">
      <c r="A10" s="27" t="s">
        <v>136</v>
      </c>
      <c r="B10" s="125" t="s">
        <v>137</v>
      </c>
      <c r="C10" s="17">
        <f>840</f>
        <v>840</v>
      </c>
      <c r="D10" s="30">
        <f>(840000)*0.001</f>
        <v>840</v>
      </c>
      <c r="E10" s="30">
        <f>(840000)*0.001</f>
        <v>840</v>
      </c>
      <c r="F10" s="208">
        <f>(847800)*0.001</f>
        <v>847.80000000000007</v>
      </c>
      <c r="G10" s="30">
        <f>(847800)*0.001</f>
        <v>847.80000000000007</v>
      </c>
      <c r="H10" s="30">
        <f>(847800)*0.001</f>
        <v>847.80000000000007</v>
      </c>
      <c r="I10" s="30">
        <f>(847800)*0.001</f>
        <v>847.80000000000007</v>
      </c>
      <c r="J10" s="208">
        <f>(890800)*0.001</f>
        <v>890.80000000000007</v>
      </c>
      <c r="K10" s="40">
        <f>(890800)*0.001</f>
        <v>890.80000000000007</v>
      </c>
      <c r="L10" s="21">
        <v>890.8</v>
      </c>
      <c r="M10" s="21">
        <v>890.8</v>
      </c>
      <c r="N10" s="208">
        <v>2085.9</v>
      </c>
      <c r="O10" s="17">
        <v>1783.7</v>
      </c>
      <c r="P10" s="17">
        <v>2092.6999999999998</v>
      </c>
      <c r="Q10" s="21">
        <v>2086.6</v>
      </c>
      <c r="R10" s="208">
        <v>2080.6</v>
      </c>
      <c r="S10" s="86">
        <v>2074.6</v>
      </c>
      <c r="T10" s="86">
        <v>2068.6</v>
      </c>
      <c r="U10" s="86">
        <v>2062.5</v>
      </c>
      <c r="V10" s="208">
        <v>2056.5</v>
      </c>
      <c r="W10" s="86">
        <v>2050.5</v>
      </c>
      <c r="X10" s="86">
        <v>2044.4</v>
      </c>
      <c r="Y10" s="86">
        <v>2038.4</v>
      </c>
      <c r="Z10" s="208">
        <v>2037.1</v>
      </c>
      <c r="AA10" s="86">
        <v>2031</v>
      </c>
      <c r="AB10" s="86">
        <v>2024.8</v>
      </c>
      <c r="AC10" s="86">
        <v>2019</v>
      </c>
      <c r="AD10" s="208">
        <v>2096.1</v>
      </c>
      <c r="AE10" s="86">
        <v>2087.9</v>
      </c>
      <c r="AF10" s="86">
        <v>2079.6999999999998</v>
      </c>
      <c r="AG10" s="34">
        <v>2071.4</v>
      </c>
      <c r="AH10" s="208">
        <v>2063.1999999999998</v>
      </c>
      <c r="AI10" s="86">
        <v>2054.9</v>
      </c>
      <c r="AJ10" s="86">
        <v>2048.1999999999998</v>
      </c>
      <c r="AK10" s="34">
        <v>2040</v>
      </c>
      <c r="AL10" s="208">
        <v>2031.7</v>
      </c>
      <c r="AM10" s="86">
        <v>2023.5</v>
      </c>
      <c r="AN10" s="86">
        <v>2095.1999999999998</v>
      </c>
      <c r="AO10" s="34">
        <v>2078.5</v>
      </c>
      <c r="AP10" s="208">
        <v>2069.6</v>
      </c>
      <c r="AQ10" s="86">
        <v>2060.6</v>
      </c>
      <c r="AR10" s="751">
        <v>2079.1999999999998</v>
      </c>
      <c r="AS10" s="751">
        <v>2070.1</v>
      </c>
      <c r="AT10" s="208">
        <v>2060.9</v>
      </c>
      <c r="AU10" s="86">
        <v>2041.2</v>
      </c>
      <c r="AV10" s="768">
        <v>2021.5</v>
      </c>
      <c r="AW10" s="768">
        <v>2000</v>
      </c>
      <c r="AX10" s="241">
        <v>1979.7</v>
      </c>
      <c r="AY10" s="215">
        <v>1959.7</v>
      </c>
      <c r="AZ10" s="768">
        <v>1947.4</v>
      </c>
      <c r="BA10" s="768"/>
      <c r="BB10" s="241"/>
      <c r="BC10" s="839"/>
      <c r="BD10" s="959"/>
      <c r="BE10" s="842"/>
    </row>
    <row r="11" spans="1:483" s="7" customFormat="1" ht="20.149999999999999" customHeight="1">
      <c r="A11" s="27" t="s">
        <v>138</v>
      </c>
      <c r="B11" s="125" t="s">
        <v>139</v>
      </c>
      <c r="C11" s="17">
        <f>69.466</f>
        <v>69.465999999999994</v>
      </c>
      <c r="D11" s="30">
        <f>(69627)*0.001</f>
        <v>69.626999999999995</v>
      </c>
      <c r="E11" s="30">
        <f>(68459)*0.001</f>
        <v>68.459000000000003</v>
      </c>
      <c r="F11" s="208">
        <f>(81380)*0.001</f>
        <v>81.38</v>
      </c>
      <c r="G11" s="30">
        <f>(82841)*0.001</f>
        <v>82.841000000000008</v>
      </c>
      <c r="H11" s="30">
        <f>(83804)*0.001</f>
        <v>83.804000000000002</v>
      </c>
      <c r="I11" s="30">
        <f>(115337)*0.001</f>
        <v>115.337</v>
      </c>
      <c r="J11" s="208">
        <f>(137401)*0.001</f>
        <v>137.40100000000001</v>
      </c>
      <c r="K11" s="40">
        <f>(136697)*0.001</f>
        <v>136.697</v>
      </c>
      <c r="L11" s="16">
        <v>2360.6</v>
      </c>
      <c r="M11" s="16">
        <v>2624.2</v>
      </c>
      <c r="N11" s="208">
        <v>2591.4</v>
      </c>
      <c r="O11" s="17">
        <v>2527.5</v>
      </c>
      <c r="P11" s="17">
        <v>2525.8000000000002</v>
      </c>
      <c r="Q11" s="16">
        <v>2464.1999999999998</v>
      </c>
      <c r="R11" s="208">
        <v>2422.1999999999998</v>
      </c>
      <c r="S11" s="86">
        <v>2988.7</v>
      </c>
      <c r="T11" s="86">
        <v>3903</v>
      </c>
      <c r="U11" s="86">
        <v>3769.5</v>
      </c>
      <c r="V11" s="208">
        <v>3656.2</v>
      </c>
      <c r="W11" s="86">
        <v>3540.5</v>
      </c>
      <c r="X11" s="86">
        <v>3471.1</v>
      </c>
      <c r="Y11" s="86">
        <v>3343.6</v>
      </c>
      <c r="Z11" s="208">
        <v>3261.5</v>
      </c>
      <c r="AA11" s="86">
        <v>3146.4</v>
      </c>
      <c r="AB11" s="86">
        <v>3097.5</v>
      </c>
      <c r="AC11" s="86">
        <v>3015.6</v>
      </c>
      <c r="AD11" s="208">
        <v>3005.5</v>
      </c>
      <c r="AE11" s="86">
        <v>2967.8</v>
      </c>
      <c r="AF11" s="86">
        <v>2943.7</v>
      </c>
      <c r="AG11" s="34">
        <v>2911.7</v>
      </c>
      <c r="AH11" s="208">
        <v>2857.8</v>
      </c>
      <c r="AI11" s="86">
        <v>2749.9</v>
      </c>
      <c r="AJ11" s="86">
        <v>2648.1</v>
      </c>
      <c r="AK11" s="34">
        <v>2602.3000000000002</v>
      </c>
      <c r="AL11" s="208">
        <v>2616.4</v>
      </c>
      <c r="AM11" s="86">
        <v>2503.3000000000002</v>
      </c>
      <c r="AN11" s="86">
        <v>2462.9</v>
      </c>
      <c r="AO11" s="34">
        <v>2400.1</v>
      </c>
      <c r="AP11" s="208">
        <v>2374.1</v>
      </c>
      <c r="AQ11" s="86">
        <v>2299.9</v>
      </c>
      <c r="AR11" s="751">
        <v>2228.9</v>
      </c>
      <c r="AS11" s="751">
        <v>2165.4</v>
      </c>
      <c r="AT11" s="208">
        <v>3340.6</v>
      </c>
      <c r="AU11" s="86">
        <v>3255.2</v>
      </c>
      <c r="AV11" s="768">
        <v>3166.5</v>
      </c>
      <c r="AW11" s="768">
        <v>3450.2</v>
      </c>
      <c r="AX11" s="241">
        <v>4835.8</v>
      </c>
      <c r="AY11" s="215">
        <v>4807.1000000000004</v>
      </c>
      <c r="AZ11" s="768">
        <v>4753.2</v>
      </c>
      <c r="BA11" s="768"/>
      <c r="BB11" s="241"/>
      <c r="BC11" s="839"/>
      <c r="BD11" s="959"/>
      <c r="BE11" s="842"/>
    </row>
    <row r="12" spans="1:483" s="7" customFormat="1" ht="20.149999999999999" customHeight="1">
      <c r="A12" s="27" t="s">
        <v>140</v>
      </c>
      <c r="B12" s="127" t="s">
        <v>141</v>
      </c>
      <c r="C12" s="17"/>
      <c r="D12" s="30"/>
      <c r="E12" s="30"/>
      <c r="F12" s="208"/>
      <c r="G12" s="30"/>
      <c r="H12" s="30"/>
      <c r="I12" s="30"/>
      <c r="J12" s="208"/>
      <c r="K12" s="40"/>
      <c r="L12" s="16"/>
      <c r="M12" s="16"/>
      <c r="N12" s="208"/>
      <c r="O12" s="17"/>
      <c r="P12" s="17"/>
      <c r="Q12" s="16"/>
      <c r="R12" s="208"/>
      <c r="S12" s="86"/>
      <c r="T12" s="86"/>
      <c r="U12" s="86"/>
      <c r="V12" s="208"/>
      <c r="W12" s="86"/>
      <c r="X12" s="86"/>
      <c r="Y12" s="86"/>
      <c r="Z12" s="208"/>
      <c r="AA12" s="86"/>
      <c r="AB12" s="86"/>
      <c r="AC12" s="86"/>
      <c r="AD12" s="208"/>
      <c r="AE12" s="86">
        <v>1482</v>
      </c>
      <c r="AF12" s="86">
        <v>1408.2</v>
      </c>
      <c r="AG12" s="34">
        <v>1340.8</v>
      </c>
      <c r="AH12" s="208">
        <v>1420.3</v>
      </c>
      <c r="AI12" s="86">
        <v>1383.8</v>
      </c>
      <c r="AJ12" s="86">
        <v>1410.2</v>
      </c>
      <c r="AK12" s="34">
        <v>1398.7</v>
      </c>
      <c r="AL12" s="208">
        <v>1519.4</v>
      </c>
      <c r="AM12" s="86">
        <v>727</v>
      </c>
      <c r="AN12" s="86">
        <v>712.6</v>
      </c>
      <c r="AO12" s="34">
        <v>685.2</v>
      </c>
      <c r="AP12" s="208">
        <v>696.5</v>
      </c>
      <c r="AQ12" s="86">
        <v>671.8</v>
      </c>
      <c r="AR12" s="751">
        <v>545.79999999999995</v>
      </c>
      <c r="AS12" s="751">
        <v>517.5</v>
      </c>
      <c r="AT12" s="208">
        <v>527</v>
      </c>
      <c r="AU12" s="86">
        <v>527</v>
      </c>
      <c r="AV12" s="767">
        <v>520.5</v>
      </c>
      <c r="AW12" s="767">
        <v>597.9</v>
      </c>
      <c r="AX12" s="241">
        <v>644.6</v>
      </c>
      <c r="AY12" s="215">
        <v>685.3</v>
      </c>
      <c r="AZ12" s="767">
        <v>706.3</v>
      </c>
      <c r="BA12" s="767"/>
      <c r="BB12" s="241"/>
      <c r="BC12" s="839"/>
      <c r="BD12" s="959"/>
      <c r="BE12" s="842"/>
    </row>
    <row r="13" spans="1:483" s="7" customFormat="1" ht="20.149999999999999" customHeight="1">
      <c r="A13" s="27" t="s">
        <v>142</v>
      </c>
      <c r="B13" s="125" t="s">
        <v>143</v>
      </c>
      <c r="C13" s="17">
        <f>91.415</f>
        <v>91.415000000000006</v>
      </c>
      <c r="D13" s="30">
        <f>(95405)*0.001</f>
        <v>95.405000000000001</v>
      </c>
      <c r="E13" s="30">
        <f>(95323)*0.001</f>
        <v>95.323000000000008</v>
      </c>
      <c r="F13" s="208">
        <f>(97988)*0.001</f>
        <v>97.988</v>
      </c>
      <c r="G13" s="30">
        <f>(104074)*0.001</f>
        <v>104.074</v>
      </c>
      <c r="H13" s="30">
        <f>(115904)*0.001</f>
        <v>115.904</v>
      </c>
      <c r="I13" s="30">
        <f>(82162)*0.001</f>
        <v>82.162000000000006</v>
      </c>
      <c r="J13" s="208">
        <f>(71571)*0.001</f>
        <v>71.570999999999998</v>
      </c>
      <c r="K13" s="40">
        <f>(107548)*0.001</f>
        <v>107.548</v>
      </c>
      <c r="L13" s="21">
        <v>128.1</v>
      </c>
      <c r="M13" s="21">
        <v>148.80000000000001</v>
      </c>
      <c r="N13" s="208">
        <v>135.80000000000001</v>
      </c>
      <c r="O13" s="17">
        <v>158.69999999999999</v>
      </c>
      <c r="P13" s="17">
        <v>174.6</v>
      </c>
      <c r="Q13" s="21">
        <v>109</v>
      </c>
      <c r="R13" s="208">
        <v>145</v>
      </c>
      <c r="S13" s="86">
        <v>129.80000000000001</v>
      </c>
      <c r="T13" s="86">
        <v>156.19999999999999</v>
      </c>
      <c r="U13" s="86">
        <v>125.6</v>
      </c>
      <c r="V13" s="208">
        <v>151.80000000000001</v>
      </c>
      <c r="W13" s="86">
        <v>150</v>
      </c>
      <c r="X13" s="86">
        <v>167.3</v>
      </c>
      <c r="Y13" s="86">
        <v>180.5</v>
      </c>
      <c r="Z13" s="208">
        <v>170.1</v>
      </c>
      <c r="AA13" s="86">
        <v>170.1</v>
      </c>
      <c r="AB13" s="86">
        <v>211.1</v>
      </c>
      <c r="AC13" s="86">
        <v>584.29999999999995</v>
      </c>
      <c r="AD13" s="208">
        <v>503.8</v>
      </c>
      <c r="AE13" s="86">
        <v>474</v>
      </c>
      <c r="AF13" s="86">
        <v>517.5</v>
      </c>
      <c r="AG13" s="34">
        <v>445.4</v>
      </c>
      <c r="AH13" s="208">
        <v>402.6</v>
      </c>
      <c r="AI13" s="86">
        <v>330.4</v>
      </c>
      <c r="AJ13" s="86">
        <v>270.8</v>
      </c>
      <c r="AK13" s="34">
        <v>261.60000000000002</v>
      </c>
      <c r="AL13" s="208">
        <v>282.5</v>
      </c>
      <c r="AM13" s="86">
        <v>290.5</v>
      </c>
      <c r="AN13" s="86">
        <v>243.3</v>
      </c>
      <c r="AO13" s="34">
        <v>542.29999999999995</v>
      </c>
      <c r="AP13" s="208">
        <v>739.4</v>
      </c>
      <c r="AQ13" s="86">
        <v>460.9</v>
      </c>
      <c r="AR13" s="751">
        <v>606</v>
      </c>
      <c r="AS13" s="751">
        <v>442.8</v>
      </c>
      <c r="AT13" s="208">
        <v>501.8</v>
      </c>
      <c r="AU13" s="86">
        <v>372.3</v>
      </c>
      <c r="AV13" s="855">
        <v>342</v>
      </c>
      <c r="AW13" s="767">
        <v>327.9</v>
      </c>
      <c r="AX13" s="241">
        <v>304.8</v>
      </c>
      <c r="AY13" s="215">
        <v>285.89999999999998</v>
      </c>
      <c r="AZ13" s="855">
        <v>259.89999999999998</v>
      </c>
      <c r="BA13" s="767"/>
      <c r="BB13" s="241"/>
      <c r="BC13" s="839"/>
      <c r="BD13" s="959"/>
      <c r="BE13" s="842"/>
      <c r="BG13" s="843"/>
      <c r="BH13" s="843"/>
      <c r="BI13" s="842"/>
    </row>
    <row r="14" spans="1:483" s="7" customFormat="1" ht="20.149999999999999" customHeight="1">
      <c r="A14" s="27" t="s">
        <v>144</v>
      </c>
      <c r="B14" s="125" t="s">
        <v>145</v>
      </c>
      <c r="C14" s="17">
        <f>8.419</f>
        <v>8.4190000000000005</v>
      </c>
      <c r="D14" s="30">
        <f>(8398)*0.001</f>
        <v>8.3979999999999997</v>
      </c>
      <c r="E14" s="30">
        <f>(8378)*0.001</f>
        <v>8.3780000000000001</v>
      </c>
      <c r="F14" s="208">
        <f>(8357)*0.001</f>
        <v>8.3569999999999993</v>
      </c>
      <c r="G14" s="30">
        <f>(8336)*0.001</f>
        <v>8.3360000000000003</v>
      </c>
      <c r="H14" s="30">
        <f>(7788)*0.001</f>
        <v>7.7880000000000003</v>
      </c>
      <c r="I14" s="30">
        <f>(7427)*0.001</f>
        <v>7.4270000000000005</v>
      </c>
      <c r="J14" s="208">
        <f>(5330)*0.001</f>
        <v>5.33</v>
      </c>
      <c r="K14" s="40">
        <f>(5315)*0.001</f>
        <v>5.3150000000000004</v>
      </c>
      <c r="L14" s="21">
        <v>5.3</v>
      </c>
      <c r="M14" s="21">
        <v>5.3</v>
      </c>
      <c r="N14" s="208">
        <v>5.3</v>
      </c>
      <c r="O14" s="17">
        <v>5.2</v>
      </c>
      <c r="P14" s="17">
        <v>5.2</v>
      </c>
      <c r="Q14" s="21">
        <v>5.2</v>
      </c>
      <c r="R14" s="208">
        <v>5.2</v>
      </c>
      <c r="S14" s="86">
        <v>5.2</v>
      </c>
      <c r="T14" s="86">
        <v>5.2</v>
      </c>
      <c r="U14" s="86">
        <v>5.2</v>
      </c>
      <c r="V14" s="208">
        <v>5.0999999999999996</v>
      </c>
      <c r="W14" s="86">
        <v>5.0999999999999996</v>
      </c>
      <c r="X14" s="86">
        <v>5.0999999999999996</v>
      </c>
      <c r="Y14" s="86">
        <v>5.0999999999999996</v>
      </c>
      <c r="Z14" s="208">
        <v>5.0999999999999996</v>
      </c>
      <c r="AA14" s="86">
        <v>5.0999999999999996</v>
      </c>
      <c r="AB14" s="86">
        <v>30</v>
      </c>
      <c r="AC14" s="86">
        <v>29.9</v>
      </c>
      <c r="AD14" s="208">
        <v>29.9</v>
      </c>
      <c r="AE14" s="86">
        <v>29.7</v>
      </c>
      <c r="AF14" s="86">
        <v>29.6</v>
      </c>
      <c r="AG14" s="86">
        <v>29.5</v>
      </c>
      <c r="AH14" s="208">
        <v>29.4</v>
      </c>
      <c r="AI14" s="86">
        <v>29.3</v>
      </c>
      <c r="AJ14" s="86">
        <v>29.1</v>
      </c>
      <c r="AK14" s="86">
        <v>29</v>
      </c>
      <c r="AL14" s="208">
        <v>50</v>
      </c>
      <c r="AM14" s="86">
        <v>50.2</v>
      </c>
      <c r="AN14" s="86">
        <v>49.8</v>
      </c>
      <c r="AO14" s="86">
        <v>49.7</v>
      </c>
      <c r="AP14" s="208">
        <v>28.4</v>
      </c>
      <c r="AQ14" s="86">
        <v>28.3</v>
      </c>
      <c r="AR14" s="751">
        <v>1103.5</v>
      </c>
      <c r="AS14" s="751">
        <v>1107.0999999999999</v>
      </c>
      <c r="AT14" s="208">
        <v>647</v>
      </c>
      <c r="AU14" s="86">
        <v>652.4</v>
      </c>
      <c r="AV14" s="767">
        <v>594.1</v>
      </c>
      <c r="AW14" s="855">
        <v>579.79999999999995</v>
      </c>
      <c r="AX14" s="241">
        <v>700</v>
      </c>
      <c r="AY14" s="215">
        <v>694.9</v>
      </c>
      <c r="AZ14" s="767">
        <v>693.7</v>
      </c>
      <c r="BA14" s="855"/>
      <c r="BB14" s="241"/>
      <c r="BC14" s="839"/>
      <c r="BD14" s="959"/>
      <c r="BE14" s="842"/>
    </row>
    <row r="15" spans="1:483" s="7" customFormat="1" ht="20.149999999999999" customHeight="1">
      <c r="A15" s="27" t="s">
        <v>146</v>
      </c>
      <c r="B15" s="125" t="s">
        <v>147</v>
      </c>
      <c r="C15" s="45">
        <v>0</v>
      </c>
      <c r="D15" s="41">
        <f>(33259)*0.001</f>
        <v>33.259</v>
      </c>
      <c r="E15" s="41">
        <f>(33252)*0.001</f>
        <v>33.252000000000002</v>
      </c>
      <c r="F15" s="211">
        <f>(35125)*0.001</f>
        <v>35.125</v>
      </c>
      <c r="G15" s="41">
        <f>(34399)*0.001</f>
        <v>34.399000000000001</v>
      </c>
      <c r="H15" s="41">
        <f>(32935)*0.001</f>
        <v>32.935000000000002</v>
      </c>
      <c r="I15" s="41">
        <f>(29318)*0.001</f>
        <v>29.318000000000001</v>
      </c>
      <c r="J15" s="211">
        <f>(29551)*0.001</f>
        <v>29.551000000000002</v>
      </c>
      <c r="K15" s="42">
        <f>(26502)*0.001</f>
        <v>26.501999999999999</v>
      </c>
      <c r="L15" s="21">
        <v>46.2</v>
      </c>
      <c r="M15" s="21">
        <v>67</v>
      </c>
      <c r="N15" s="211">
        <v>81</v>
      </c>
      <c r="O15" s="17">
        <v>84.1</v>
      </c>
      <c r="P15" s="17">
        <v>82.3</v>
      </c>
      <c r="Q15" s="21">
        <v>81.2</v>
      </c>
      <c r="R15" s="211">
        <v>83.3</v>
      </c>
      <c r="S15" s="86">
        <v>81.099999999999994</v>
      </c>
      <c r="T15" s="86">
        <v>79.7</v>
      </c>
      <c r="U15" s="86">
        <v>80.400000000000006</v>
      </c>
      <c r="V15" s="211">
        <v>82.8</v>
      </c>
      <c r="W15" s="86">
        <v>83.8</v>
      </c>
      <c r="X15" s="86">
        <v>82.9</v>
      </c>
      <c r="Y15" s="86">
        <v>85.8</v>
      </c>
      <c r="Z15" s="211">
        <v>91.4</v>
      </c>
      <c r="AA15" s="86">
        <v>90.4</v>
      </c>
      <c r="AB15" s="86">
        <v>93</v>
      </c>
      <c r="AC15" s="86">
        <v>94.8</v>
      </c>
      <c r="AD15" s="211">
        <v>99.7</v>
      </c>
      <c r="AE15" s="86">
        <v>97.9</v>
      </c>
      <c r="AF15" s="86">
        <v>93.9</v>
      </c>
      <c r="AG15" s="86">
        <v>98.1</v>
      </c>
      <c r="AH15" s="211">
        <v>100.5</v>
      </c>
      <c r="AI15" s="86">
        <v>96</v>
      </c>
      <c r="AJ15" s="86">
        <v>91.1</v>
      </c>
      <c r="AK15" s="86">
        <v>94.9</v>
      </c>
      <c r="AL15" s="211">
        <v>93.5</v>
      </c>
      <c r="AM15" s="86">
        <v>90.6</v>
      </c>
      <c r="AN15" s="86">
        <v>82.1</v>
      </c>
      <c r="AO15" s="86">
        <v>77.099999999999994</v>
      </c>
      <c r="AP15" s="211">
        <v>73.5</v>
      </c>
      <c r="AQ15" s="86">
        <v>72.599999999999994</v>
      </c>
      <c r="AR15" s="751">
        <v>75</v>
      </c>
      <c r="AS15" s="751">
        <v>77.099999999999994</v>
      </c>
      <c r="AT15" s="211">
        <v>79.8</v>
      </c>
      <c r="AU15" s="86">
        <v>79.8</v>
      </c>
      <c r="AV15" s="767">
        <v>76.3</v>
      </c>
      <c r="AW15" s="767">
        <v>77.7</v>
      </c>
      <c r="AX15" s="241">
        <v>85</v>
      </c>
      <c r="AY15" s="215">
        <v>74.5</v>
      </c>
      <c r="AZ15" s="767">
        <v>75.400000000000006</v>
      </c>
      <c r="BA15" s="767"/>
      <c r="BB15" s="241"/>
      <c r="BC15" s="839"/>
      <c r="BD15" s="959"/>
      <c r="BE15" s="842"/>
    </row>
    <row r="16" spans="1:483" s="7" customFormat="1" ht="20.149999999999999" customHeight="1">
      <c r="A16" s="27" t="s">
        <v>148</v>
      </c>
      <c r="B16" s="128" t="s">
        <v>149</v>
      </c>
      <c r="C16" s="24">
        <v>0</v>
      </c>
      <c r="D16" s="24">
        <v>0</v>
      </c>
      <c r="E16" s="24">
        <v>0</v>
      </c>
      <c r="F16" s="212">
        <v>0</v>
      </c>
      <c r="G16" s="24">
        <v>0</v>
      </c>
      <c r="H16" s="24">
        <v>0</v>
      </c>
      <c r="I16" s="24">
        <v>0</v>
      </c>
      <c r="J16" s="212">
        <v>0</v>
      </c>
      <c r="K16" s="24">
        <v>0</v>
      </c>
      <c r="L16" s="24">
        <v>0</v>
      </c>
      <c r="M16" s="24">
        <v>0</v>
      </c>
      <c r="N16" s="212">
        <v>0</v>
      </c>
      <c r="O16" s="24">
        <v>0</v>
      </c>
      <c r="P16" s="24">
        <v>0</v>
      </c>
      <c r="Q16" s="24">
        <v>0</v>
      </c>
      <c r="R16" s="212">
        <v>0</v>
      </c>
      <c r="S16" s="86">
        <v>180.5</v>
      </c>
      <c r="T16" s="86">
        <v>0</v>
      </c>
      <c r="U16" s="86">
        <v>0</v>
      </c>
      <c r="V16" s="212">
        <v>0</v>
      </c>
      <c r="W16" s="86">
        <v>0</v>
      </c>
      <c r="X16" s="86">
        <v>0</v>
      </c>
      <c r="Y16" s="86">
        <v>0</v>
      </c>
      <c r="Z16" s="212">
        <v>0</v>
      </c>
      <c r="AA16" s="86">
        <v>0</v>
      </c>
      <c r="AB16" s="86">
        <v>0</v>
      </c>
      <c r="AC16" s="86">
        <v>0</v>
      </c>
      <c r="AD16" s="212">
        <v>0</v>
      </c>
      <c r="AE16" s="86">
        <v>0</v>
      </c>
      <c r="AF16" s="86">
        <v>0</v>
      </c>
      <c r="AG16" s="86">
        <v>0</v>
      </c>
      <c r="AH16" s="212">
        <v>0</v>
      </c>
      <c r="AI16" s="86">
        <v>0</v>
      </c>
      <c r="AJ16" s="86">
        <v>0</v>
      </c>
      <c r="AK16" s="86">
        <v>0</v>
      </c>
      <c r="AL16" s="212">
        <v>0</v>
      </c>
      <c r="AM16" s="86">
        <v>0</v>
      </c>
      <c r="AN16" s="86">
        <v>0</v>
      </c>
      <c r="AO16" s="86">
        <v>0</v>
      </c>
      <c r="AP16" s="212">
        <v>0</v>
      </c>
      <c r="AQ16" s="86">
        <v>0</v>
      </c>
      <c r="AR16" s="751">
        <v>0</v>
      </c>
      <c r="AS16" s="751">
        <v>0</v>
      </c>
      <c r="AT16" s="212">
        <v>0</v>
      </c>
      <c r="AU16" s="86">
        <v>0</v>
      </c>
      <c r="AV16" s="751">
        <v>0</v>
      </c>
      <c r="AW16" s="751">
        <v>0</v>
      </c>
      <c r="AX16" s="922">
        <v>0</v>
      </c>
      <c r="AY16" s="215">
        <v>0</v>
      </c>
      <c r="AZ16" s="751">
        <v>0</v>
      </c>
      <c r="BA16" s="751"/>
      <c r="BB16" s="922"/>
      <c r="BC16" s="839"/>
      <c r="BD16" s="959"/>
      <c r="BE16" s="842"/>
      <c r="BN16" s="842"/>
    </row>
    <row r="17" spans="1:60" s="7" customFormat="1" ht="20.149999999999999" customHeight="1">
      <c r="A17" s="27" t="s">
        <v>151</v>
      </c>
      <c r="B17" s="128" t="s">
        <v>152</v>
      </c>
      <c r="C17" s="24"/>
      <c r="D17" s="24"/>
      <c r="E17" s="24"/>
      <c r="F17" s="212"/>
      <c r="G17" s="24"/>
      <c r="H17" s="24"/>
      <c r="I17" s="24"/>
      <c r="J17" s="212"/>
      <c r="K17" s="24"/>
      <c r="L17" s="24"/>
      <c r="M17" s="24"/>
      <c r="N17" s="212"/>
      <c r="O17" s="24"/>
      <c r="P17" s="24"/>
      <c r="Q17" s="24"/>
      <c r="R17" s="212"/>
      <c r="S17" s="86"/>
      <c r="T17" s="86"/>
      <c r="U17" s="86"/>
      <c r="V17" s="212"/>
      <c r="W17" s="86"/>
      <c r="X17" s="86"/>
      <c r="Y17" s="86"/>
      <c r="Z17" s="212"/>
      <c r="AA17" s="86"/>
      <c r="AB17" s="86"/>
      <c r="AC17" s="86"/>
      <c r="AD17" s="644">
        <v>616.9</v>
      </c>
      <c r="AE17" s="86"/>
      <c r="AF17" s="86"/>
      <c r="AG17" s="86"/>
      <c r="AH17" s="644">
        <v>776.5</v>
      </c>
      <c r="AI17" s="86">
        <v>749.5</v>
      </c>
      <c r="AJ17" s="86">
        <v>747.8</v>
      </c>
      <c r="AK17" s="86">
        <v>791.7</v>
      </c>
      <c r="AL17" s="644">
        <v>832</v>
      </c>
      <c r="AM17" s="86">
        <v>797.7</v>
      </c>
      <c r="AN17" s="86">
        <v>774</v>
      </c>
      <c r="AO17" s="86">
        <v>751.8</v>
      </c>
      <c r="AP17" s="208">
        <v>777.1</v>
      </c>
      <c r="AQ17" s="86">
        <v>748.7</v>
      </c>
      <c r="AR17" s="751">
        <v>775.8</v>
      </c>
      <c r="AS17" s="751">
        <v>839.8</v>
      </c>
      <c r="AT17" s="208">
        <v>930</v>
      </c>
      <c r="AU17" s="215">
        <v>931.1</v>
      </c>
      <c r="AV17" s="767">
        <v>979.3</v>
      </c>
      <c r="AW17" s="767">
        <v>964.2</v>
      </c>
      <c r="AX17" s="241">
        <v>968.1</v>
      </c>
      <c r="AY17" s="215">
        <v>925.7</v>
      </c>
      <c r="AZ17" s="767">
        <v>878.5</v>
      </c>
      <c r="BA17" s="767"/>
      <c r="BB17" s="241"/>
      <c r="BC17" s="839"/>
      <c r="BD17" s="959"/>
      <c r="BE17" s="842"/>
    </row>
    <row r="18" spans="1:60" ht="20.149999999999999" customHeight="1">
      <c r="A18" s="709" t="s">
        <v>153</v>
      </c>
      <c r="B18" s="128" t="s">
        <v>154</v>
      </c>
      <c r="C18" s="227"/>
      <c r="D18" s="227"/>
      <c r="E18" s="227"/>
      <c r="F18" s="226"/>
      <c r="G18" s="227"/>
      <c r="H18" s="227"/>
      <c r="I18" s="227"/>
      <c r="J18" s="226"/>
      <c r="K18" s="227"/>
      <c r="L18" s="227"/>
      <c r="M18" s="227"/>
      <c r="N18" s="226"/>
      <c r="O18" s="227"/>
      <c r="P18" s="227"/>
      <c r="Q18" s="227"/>
      <c r="R18" s="226"/>
      <c r="S18" s="215"/>
      <c r="T18" s="215"/>
      <c r="U18" s="215"/>
      <c r="V18" s="226"/>
      <c r="W18" s="215"/>
      <c r="X18" s="215"/>
      <c r="Y18" s="215"/>
      <c r="Z18" s="226"/>
      <c r="AA18" s="215"/>
      <c r="AB18" s="215"/>
      <c r="AC18" s="215"/>
      <c r="AD18" s="226"/>
      <c r="AE18" s="215"/>
      <c r="AF18" s="215"/>
      <c r="AG18" s="215"/>
      <c r="AH18" s="226"/>
      <c r="AI18" s="215"/>
      <c r="AJ18" s="215"/>
      <c r="AK18" s="215"/>
      <c r="AL18" s="784"/>
      <c r="AM18" s="215"/>
      <c r="AN18" s="215"/>
      <c r="AO18" s="215"/>
      <c r="AP18" s="241">
        <v>57.1</v>
      </c>
      <c r="AQ18" s="215"/>
      <c r="AR18" s="755"/>
      <c r="AS18" s="755"/>
      <c r="AT18" s="241">
        <v>325.60000000000002</v>
      </c>
      <c r="AU18" s="215">
        <v>576.29999999999995</v>
      </c>
      <c r="AV18" s="767">
        <v>758.5</v>
      </c>
      <c r="AW18" s="767">
        <v>117.6</v>
      </c>
      <c r="AX18" s="241">
        <v>10.9</v>
      </c>
      <c r="AY18" s="215">
        <v>11</v>
      </c>
      <c r="AZ18" s="767">
        <v>2.7</v>
      </c>
      <c r="BA18" s="767"/>
      <c r="BB18" s="241"/>
      <c r="BC18" s="839"/>
      <c r="BD18" s="959"/>
      <c r="BE18" s="842"/>
    </row>
    <row r="19" spans="1:60" ht="20.149999999999999" customHeight="1">
      <c r="A19" s="709" t="s">
        <v>155</v>
      </c>
      <c r="B19" s="128" t="s">
        <v>156</v>
      </c>
      <c r="C19" s="230">
        <f>92.159</f>
        <v>92.159000000000006</v>
      </c>
      <c r="D19" s="236">
        <f>(84770)*0.001</f>
        <v>84.77</v>
      </c>
      <c r="E19" s="236">
        <f>(116704)*0.001</f>
        <v>116.70400000000001</v>
      </c>
      <c r="F19" s="241">
        <f>(109642)*0.001</f>
        <v>109.642</v>
      </c>
      <c r="G19" s="236">
        <f>(62960)*0.001</f>
        <v>62.96</v>
      </c>
      <c r="H19" s="236">
        <f>(61422)*0.001</f>
        <v>61.422000000000004</v>
      </c>
      <c r="I19" s="236">
        <f>(27107)*0.001</f>
        <v>27.106999999999999</v>
      </c>
      <c r="J19" s="241">
        <f>(20803)*0.001</f>
        <v>20.803000000000001</v>
      </c>
      <c r="K19" s="242">
        <f>(6430)*0.001</f>
        <v>6.43</v>
      </c>
      <c r="L19" s="785">
        <v>107.4</v>
      </c>
      <c r="M19" s="785">
        <v>141.4</v>
      </c>
      <c r="N19" s="241">
        <v>198.5</v>
      </c>
      <c r="O19" s="230">
        <v>238</v>
      </c>
      <c r="P19" s="230">
        <v>232.8</v>
      </c>
      <c r="Q19" s="785">
        <v>232.7</v>
      </c>
      <c r="R19" s="241">
        <v>272.8</v>
      </c>
      <c r="S19" s="215">
        <v>295.39999999999998</v>
      </c>
      <c r="T19" s="215">
        <v>331.8</v>
      </c>
      <c r="U19" s="215">
        <v>373.3</v>
      </c>
      <c r="V19" s="241">
        <v>452</v>
      </c>
      <c r="W19" s="215">
        <v>476.3</v>
      </c>
      <c r="X19" s="215">
        <v>508.1</v>
      </c>
      <c r="Y19" s="215">
        <v>544.20000000000005</v>
      </c>
      <c r="Z19" s="241">
        <v>1270.7</v>
      </c>
      <c r="AA19" s="215">
        <v>1280.5999999999999</v>
      </c>
      <c r="AB19" s="215">
        <v>649.29999999999995</v>
      </c>
      <c r="AC19" s="215">
        <v>647.9</v>
      </c>
      <c r="AD19" s="241">
        <v>84.2</v>
      </c>
      <c r="AE19" s="215">
        <v>714.5</v>
      </c>
      <c r="AF19" s="215">
        <v>781.6</v>
      </c>
      <c r="AG19" s="215">
        <v>830.6</v>
      </c>
      <c r="AH19" s="241">
        <v>1315.8</v>
      </c>
      <c r="AI19" s="215">
        <v>1337.2</v>
      </c>
      <c r="AJ19" s="215">
        <v>1314.7</v>
      </c>
      <c r="AK19" s="215">
        <v>1329.2</v>
      </c>
      <c r="AL19" s="241">
        <v>1283.5999999999999</v>
      </c>
      <c r="AM19" s="215">
        <v>1330.6</v>
      </c>
      <c r="AN19" s="215">
        <v>1799.7</v>
      </c>
      <c r="AO19" s="215">
        <v>1820.5</v>
      </c>
      <c r="AP19" s="241">
        <v>1845.2</v>
      </c>
      <c r="AQ19" s="215">
        <v>2037.6</v>
      </c>
      <c r="AR19" s="755">
        <v>2659.2</v>
      </c>
      <c r="AS19" s="755">
        <v>2285.3000000000002</v>
      </c>
      <c r="AT19" s="786">
        <v>1918</v>
      </c>
      <c r="AU19" s="215">
        <v>1933.7</v>
      </c>
      <c r="AV19" s="768">
        <v>2028.6</v>
      </c>
      <c r="AW19" s="768">
        <v>746.3</v>
      </c>
      <c r="AX19" s="786">
        <v>702.8</v>
      </c>
      <c r="AY19" s="215">
        <v>741.7</v>
      </c>
      <c r="AZ19" s="768">
        <v>790.2</v>
      </c>
      <c r="BA19" s="768"/>
      <c r="BB19" s="786"/>
      <c r="BC19" s="839"/>
      <c r="BD19" s="959"/>
      <c r="BE19" s="842"/>
    </row>
    <row r="20" spans="1:60" s="882" customFormat="1" ht="26">
      <c r="A20" s="787" t="s">
        <v>157</v>
      </c>
      <c r="B20" s="903" t="s">
        <v>158</v>
      </c>
      <c r="C20" s="66"/>
      <c r="D20" s="66"/>
      <c r="E20" s="66"/>
      <c r="F20" s="788"/>
      <c r="G20" s="66"/>
      <c r="H20" s="66"/>
      <c r="I20" s="66"/>
      <c r="J20" s="213"/>
      <c r="K20" s="66"/>
      <c r="L20" s="66"/>
      <c r="M20" s="66"/>
      <c r="N20" s="213"/>
      <c r="O20" s="66"/>
      <c r="P20" s="66"/>
      <c r="Q20" s="66"/>
      <c r="R20" s="213"/>
      <c r="S20" s="66"/>
      <c r="T20" s="66"/>
      <c r="U20" s="66"/>
      <c r="V20" s="961">
        <v>0</v>
      </c>
      <c r="W20" s="66"/>
      <c r="X20" s="66"/>
      <c r="Y20" s="66"/>
      <c r="Z20" s="788">
        <v>665.2</v>
      </c>
      <c r="AA20" s="195">
        <v>681.2</v>
      </c>
      <c r="AB20" s="195">
        <v>40.4</v>
      </c>
      <c r="AC20" s="195">
        <v>36.9</v>
      </c>
      <c r="AD20" s="788">
        <v>43</v>
      </c>
      <c r="AE20" s="195">
        <v>41.3</v>
      </c>
      <c r="AF20" s="66">
        <v>67.5</v>
      </c>
      <c r="AG20" s="195">
        <v>66.2</v>
      </c>
      <c r="AH20" s="788">
        <v>1282.4000000000001</v>
      </c>
      <c r="AI20" s="195">
        <v>1306.0999999999999</v>
      </c>
      <c r="AJ20" s="195">
        <v>1284.0999999999999</v>
      </c>
      <c r="AK20" s="195">
        <v>1298.2</v>
      </c>
      <c r="AL20" s="788">
        <v>1257.8</v>
      </c>
      <c r="AM20" s="195">
        <v>1274.3</v>
      </c>
      <c r="AN20" s="195">
        <v>1740.2</v>
      </c>
      <c r="AO20" s="195">
        <v>1752.6</v>
      </c>
      <c r="AP20" s="646">
        <v>1764.4</v>
      </c>
      <c r="AQ20" s="195">
        <v>1774.8</v>
      </c>
      <c r="AR20" s="752">
        <v>2232.6999999999998</v>
      </c>
      <c r="AS20" s="752">
        <v>1786.1</v>
      </c>
      <c r="AT20" s="789">
        <v>1884.2</v>
      </c>
      <c r="AU20" s="195">
        <v>1904.6</v>
      </c>
      <c r="AV20" s="856">
        <v>1821.8</v>
      </c>
      <c r="AW20" s="856">
        <v>80.5</v>
      </c>
      <c r="AX20" s="925">
        <v>10.1</v>
      </c>
      <c r="AY20" s="195">
        <v>10.1</v>
      </c>
      <c r="AZ20" s="773">
        <v>10.199999999999999</v>
      </c>
      <c r="BA20" s="856"/>
      <c r="BB20" s="925"/>
      <c r="BC20" s="962"/>
      <c r="BD20" s="963"/>
      <c r="BE20" s="964"/>
    </row>
    <row r="21" spans="1:60" s="882" customFormat="1" ht="26">
      <c r="A21" s="787" t="s">
        <v>159</v>
      </c>
      <c r="B21" s="903" t="s">
        <v>160</v>
      </c>
      <c r="C21" s="66"/>
      <c r="D21" s="66"/>
      <c r="E21" s="66"/>
      <c r="F21" s="788"/>
      <c r="G21" s="66"/>
      <c r="H21" s="66"/>
      <c r="I21" s="66"/>
      <c r="J21" s="213"/>
      <c r="K21" s="66"/>
      <c r="L21" s="66"/>
      <c r="M21" s="66"/>
      <c r="N21" s="213"/>
      <c r="O21" s="66"/>
      <c r="P21" s="66"/>
      <c r="Q21" s="66"/>
      <c r="R21" s="213"/>
      <c r="S21" s="66"/>
      <c r="T21" s="66"/>
      <c r="U21" s="66"/>
      <c r="V21" s="961"/>
      <c r="W21" s="66"/>
      <c r="X21" s="66"/>
      <c r="Y21" s="66"/>
      <c r="Z21" s="788"/>
      <c r="AA21" s="195"/>
      <c r="AB21" s="195"/>
      <c r="AC21" s="195"/>
      <c r="AD21" s="788"/>
      <c r="AE21" s="87">
        <v>0</v>
      </c>
      <c r="AF21" s="87">
        <v>0</v>
      </c>
      <c r="AG21" s="87">
        <v>0</v>
      </c>
      <c r="AH21" s="965">
        <v>0</v>
      </c>
      <c r="AI21" s="87">
        <v>0</v>
      </c>
      <c r="AJ21" s="87">
        <v>0</v>
      </c>
      <c r="AK21" s="87">
        <v>0</v>
      </c>
      <c r="AL21" s="965">
        <v>0</v>
      </c>
      <c r="AM21" s="87">
        <v>0</v>
      </c>
      <c r="AN21" s="87">
        <v>0</v>
      </c>
      <c r="AO21" s="87">
        <v>0</v>
      </c>
      <c r="AP21" s="965">
        <v>0</v>
      </c>
      <c r="AQ21" s="87">
        <v>0</v>
      </c>
      <c r="AR21" s="754">
        <v>0</v>
      </c>
      <c r="AS21" s="754">
        <v>0</v>
      </c>
      <c r="AT21" s="966">
        <v>1.6</v>
      </c>
      <c r="AU21" s="87">
        <v>0</v>
      </c>
      <c r="AV21" s="754">
        <v>0</v>
      </c>
      <c r="AW21" s="856">
        <v>604.20000000000005</v>
      </c>
      <c r="AX21" s="925">
        <v>615.9</v>
      </c>
      <c r="AY21" s="195">
        <v>652.9</v>
      </c>
      <c r="AZ21" s="773">
        <v>678.4</v>
      </c>
      <c r="BA21" s="856"/>
      <c r="BB21" s="925"/>
      <c r="BC21" s="962"/>
      <c r="BD21" s="963"/>
      <c r="BE21" s="964"/>
    </row>
    <row r="22" spans="1:60" s="15" customFormat="1" ht="20.149999999999999" customHeight="1">
      <c r="A22" s="29" t="s">
        <v>161</v>
      </c>
      <c r="B22" s="129" t="s">
        <v>162</v>
      </c>
      <c r="C22" s="23">
        <v>0</v>
      </c>
      <c r="D22" s="23">
        <v>0</v>
      </c>
      <c r="E22" s="23">
        <v>0</v>
      </c>
      <c r="F22" s="473"/>
      <c r="G22" s="23">
        <v>0</v>
      </c>
      <c r="H22" s="23">
        <v>0</v>
      </c>
      <c r="I22" s="23">
        <v>0</v>
      </c>
      <c r="J22" s="214">
        <v>0</v>
      </c>
      <c r="K22" s="32">
        <v>0</v>
      </c>
      <c r="L22" s="23">
        <v>0</v>
      </c>
      <c r="M22" s="23">
        <v>0</v>
      </c>
      <c r="N22" s="214">
        <v>1.2</v>
      </c>
      <c r="O22" s="23">
        <v>0</v>
      </c>
      <c r="P22" s="23">
        <v>0</v>
      </c>
      <c r="Q22" s="23">
        <v>0</v>
      </c>
      <c r="R22" s="214">
        <v>6.9</v>
      </c>
      <c r="S22" s="87">
        <v>0.6</v>
      </c>
      <c r="T22" s="87">
        <v>0</v>
      </c>
      <c r="U22" s="87">
        <v>3.5</v>
      </c>
      <c r="V22" s="473">
        <v>9.5</v>
      </c>
      <c r="W22" s="87">
        <v>7.8</v>
      </c>
      <c r="X22" s="87">
        <v>4.9000000000000004</v>
      </c>
      <c r="Y22" s="87">
        <v>2.5</v>
      </c>
      <c r="Z22" s="473">
        <v>1.9</v>
      </c>
      <c r="AA22" s="87">
        <v>0.1</v>
      </c>
      <c r="AB22" s="87">
        <v>1.4</v>
      </c>
      <c r="AC22" s="87">
        <v>2.7</v>
      </c>
      <c r="AD22" s="487">
        <v>0</v>
      </c>
      <c r="AE22" s="87">
        <v>0</v>
      </c>
      <c r="AF22" s="87">
        <v>0</v>
      </c>
      <c r="AG22" s="87">
        <v>0.2</v>
      </c>
      <c r="AH22" s="473">
        <v>1.2</v>
      </c>
      <c r="AI22" s="87">
        <v>0</v>
      </c>
      <c r="AJ22" s="87">
        <v>0</v>
      </c>
      <c r="AK22" s="87">
        <v>0</v>
      </c>
      <c r="AL22" s="473">
        <v>0.4</v>
      </c>
      <c r="AM22" s="87">
        <v>2.9</v>
      </c>
      <c r="AN22" s="195">
        <v>4</v>
      </c>
      <c r="AO22" s="87">
        <v>6.5</v>
      </c>
      <c r="AP22" s="645">
        <v>23</v>
      </c>
      <c r="AQ22" s="195">
        <v>23</v>
      </c>
      <c r="AR22" s="752">
        <v>36.9</v>
      </c>
      <c r="AS22" s="752">
        <v>34.4</v>
      </c>
      <c r="AT22" s="782">
        <v>17.399999999999999</v>
      </c>
      <c r="AU22" s="195">
        <v>10.1</v>
      </c>
      <c r="AV22" s="773">
        <v>158.80000000000001</v>
      </c>
      <c r="AW22" s="773">
        <v>8.9</v>
      </c>
      <c r="AX22" s="925">
        <v>35.200000000000003</v>
      </c>
      <c r="AY22" s="195">
        <v>22.2</v>
      </c>
      <c r="AZ22" s="773">
        <v>42.1</v>
      </c>
      <c r="BA22" s="773"/>
      <c r="BB22" s="925"/>
      <c r="BC22" s="962"/>
      <c r="BD22" s="963"/>
      <c r="BE22" s="964"/>
    </row>
    <row r="23" spans="1:60" s="7" customFormat="1" ht="20.149999999999999" customHeight="1" thickBot="1">
      <c r="A23" s="27" t="s">
        <v>163</v>
      </c>
      <c r="B23" s="125" t="s">
        <v>164</v>
      </c>
      <c r="C23" s="17">
        <f>30.5</f>
        <v>30.5</v>
      </c>
      <c r="D23" s="30">
        <f>(40245)*0.001</f>
        <v>40.244999999999997</v>
      </c>
      <c r="E23" s="30">
        <f>(37018)*0.001</f>
        <v>37.018000000000001</v>
      </c>
      <c r="F23" s="208">
        <f>(31356)*0.001</f>
        <v>31.356000000000002</v>
      </c>
      <c r="G23" s="30">
        <f>(30260)*0.001</f>
        <v>30.26</v>
      </c>
      <c r="H23" s="30">
        <f>(27326)*0.001</f>
        <v>27.326000000000001</v>
      </c>
      <c r="I23" s="30">
        <f>(27552)*0.001</f>
        <v>27.552</v>
      </c>
      <c r="J23" s="208">
        <f>(38854)*0.001</f>
        <v>38.853999999999999</v>
      </c>
      <c r="K23" s="40">
        <f>(34685)*0.001</f>
        <v>34.685000000000002</v>
      </c>
      <c r="L23" s="21">
        <v>240.5</v>
      </c>
      <c r="M23" s="21">
        <v>285.7</v>
      </c>
      <c r="N23" s="208">
        <v>281.10000000000002</v>
      </c>
      <c r="O23" s="17">
        <v>229</v>
      </c>
      <c r="P23" s="17">
        <v>260.89999999999998</v>
      </c>
      <c r="Q23" s="21">
        <v>107.2</v>
      </c>
      <c r="R23" s="208">
        <v>87.6</v>
      </c>
      <c r="S23" s="86">
        <v>211.3</v>
      </c>
      <c r="T23" s="86">
        <v>236.5</v>
      </c>
      <c r="U23" s="86">
        <v>238.4</v>
      </c>
      <c r="V23" s="208">
        <v>232.7</v>
      </c>
      <c r="W23" s="86">
        <v>249.3</v>
      </c>
      <c r="X23" s="86">
        <v>199.9</v>
      </c>
      <c r="Y23" s="86">
        <v>192.1</v>
      </c>
      <c r="Z23" s="208">
        <v>197.2</v>
      </c>
      <c r="AA23" s="86">
        <v>178.4</v>
      </c>
      <c r="AB23" s="86">
        <v>216</v>
      </c>
      <c r="AC23" s="86">
        <v>213</v>
      </c>
      <c r="AD23" s="208">
        <v>259.7</v>
      </c>
      <c r="AE23" s="86">
        <v>258.2</v>
      </c>
      <c r="AF23" s="86">
        <v>260.5</v>
      </c>
      <c r="AG23" s="86">
        <v>267.3</v>
      </c>
      <c r="AH23" s="208">
        <v>241.2</v>
      </c>
      <c r="AI23" s="86">
        <v>243.2</v>
      </c>
      <c r="AJ23" s="86">
        <v>260.7</v>
      </c>
      <c r="AK23" s="86">
        <v>242.5</v>
      </c>
      <c r="AL23" s="208">
        <v>223.2</v>
      </c>
      <c r="AM23" s="86">
        <v>158.6</v>
      </c>
      <c r="AN23" s="86">
        <v>106.6</v>
      </c>
      <c r="AO23" s="86">
        <v>119.2</v>
      </c>
      <c r="AP23" s="208">
        <v>80.2</v>
      </c>
      <c r="AQ23" s="215">
        <v>87.6</v>
      </c>
      <c r="AR23" s="751">
        <v>104.2</v>
      </c>
      <c r="AS23" s="751">
        <v>112.1</v>
      </c>
      <c r="AT23" s="781">
        <v>99.9</v>
      </c>
      <c r="AU23" s="215">
        <v>110.5</v>
      </c>
      <c r="AV23" s="857">
        <v>108.8</v>
      </c>
      <c r="AW23" s="857">
        <v>151.9</v>
      </c>
      <c r="AX23" s="786">
        <v>142.80000000000001</v>
      </c>
      <c r="AY23" s="215">
        <v>157.4</v>
      </c>
      <c r="AZ23" s="857">
        <v>158.19999999999999</v>
      </c>
      <c r="BA23" s="857"/>
      <c r="BB23" s="786"/>
      <c r="BC23" s="839"/>
      <c r="BD23" s="959"/>
      <c r="BE23" s="842"/>
    </row>
    <row r="24" spans="1:60" s="224" customFormat="1" ht="25.25" customHeight="1" thickBot="1">
      <c r="A24" s="398" t="s">
        <v>165</v>
      </c>
      <c r="B24" s="398" t="s">
        <v>166</v>
      </c>
      <c r="C24" s="399">
        <f t="shared" ref="C24:K24" si="0">(SUM(C6:C23))</f>
        <v>4228.9560000000001</v>
      </c>
      <c r="D24" s="400">
        <f t="shared" si="0"/>
        <v>4425.1450000000004</v>
      </c>
      <c r="E24" s="400">
        <f t="shared" si="0"/>
        <v>4456.701</v>
      </c>
      <c r="F24" s="401">
        <f t="shared" si="0"/>
        <v>4476.1480000000001</v>
      </c>
      <c r="G24" s="400">
        <f t="shared" si="0"/>
        <v>4424.8490000000011</v>
      </c>
      <c r="H24" s="400">
        <f t="shared" si="0"/>
        <v>4428.5439999999999</v>
      </c>
      <c r="I24" s="400">
        <f t="shared" si="0"/>
        <v>4436.0960000000005</v>
      </c>
      <c r="J24" s="401">
        <f t="shared" si="0"/>
        <v>4455.8450000000003</v>
      </c>
      <c r="K24" s="399">
        <f t="shared" si="0"/>
        <v>4454.3520000000008</v>
      </c>
      <c r="L24" s="400">
        <f>SUM(L6:L23)</f>
        <v>23391.8</v>
      </c>
      <c r="M24" s="400">
        <f>SUM(M6:M23)</f>
        <v>23581.399999999998</v>
      </c>
      <c r="N24" s="401">
        <f t="shared" ref="N24:Y24" si="1">(SUM(N6:N23))-N22</f>
        <v>23356.1</v>
      </c>
      <c r="O24" s="399">
        <f t="shared" si="1"/>
        <v>23132</v>
      </c>
      <c r="P24" s="400">
        <f t="shared" si="1"/>
        <v>22867.599999999999</v>
      </c>
      <c r="Q24" s="400">
        <f t="shared" si="1"/>
        <v>22396.3</v>
      </c>
      <c r="R24" s="401">
        <f t="shared" si="1"/>
        <v>22261.199999999997</v>
      </c>
      <c r="S24" s="399">
        <f t="shared" si="1"/>
        <v>24489.499999999996</v>
      </c>
      <c r="T24" s="400">
        <f t="shared" si="1"/>
        <v>24377.8</v>
      </c>
      <c r="U24" s="400">
        <f t="shared" si="1"/>
        <v>24047.600000000002</v>
      </c>
      <c r="V24" s="401">
        <f t="shared" si="1"/>
        <v>23958.899999999998</v>
      </c>
      <c r="W24" s="399">
        <f t="shared" si="1"/>
        <v>23642.099999999995</v>
      </c>
      <c r="X24" s="400">
        <f t="shared" si="1"/>
        <v>23454.6</v>
      </c>
      <c r="Y24" s="400">
        <f t="shared" si="1"/>
        <v>23215.999999999996</v>
      </c>
      <c r="Z24" s="401">
        <f>(SUM(Z6:Z23))-Z22-Z20</f>
        <v>23824.5</v>
      </c>
      <c r="AA24" s="399">
        <f>SUM(AA6:AA19,AA23)</f>
        <v>23530.6</v>
      </c>
      <c r="AB24" s="400">
        <f>SUM(AB6:AB19,AB23)</f>
        <v>24924.399999999998</v>
      </c>
      <c r="AC24" s="400">
        <f>SUM(AC6:AC19,AC23)</f>
        <v>25095.3</v>
      </c>
      <c r="AD24" s="401">
        <f>(SUM(AD6:AD23))-AD22-AD20</f>
        <v>25274.100000000002</v>
      </c>
      <c r="AE24" s="399">
        <f>SUM(AE6:AE19,AE23)</f>
        <v>26511.500000000004</v>
      </c>
      <c r="AF24" s="400">
        <f>SUM(AF6:AF19,AF23)</f>
        <v>26473.100000000002</v>
      </c>
      <c r="AG24" s="400">
        <f>SUM(AG6:AG19,AG23)</f>
        <v>26264.3</v>
      </c>
      <c r="AH24" s="401">
        <f>(SUM(AH6:AH23))-AH22-AH20</f>
        <v>27604.7</v>
      </c>
      <c r="AI24" s="399">
        <f>SUM(AI6:AI19,AI23)</f>
        <v>27318.900000000005</v>
      </c>
      <c r="AJ24" s="400">
        <f>SUM(AJ6:AJ19,AJ23)</f>
        <v>27109.599999999995</v>
      </c>
      <c r="AK24" s="400">
        <f>SUM(AK6:AK19,AK23)</f>
        <v>27531.8</v>
      </c>
      <c r="AL24" s="401">
        <f>(SUM(AL6:AL23))-AL22-AL20</f>
        <v>27837.800000000003</v>
      </c>
      <c r="AM24" s="399">
        <f>SUM(AM6:AM19,AM23)</f>
        <v>24265.799999999996</v>
      </c>
      <c r="AN24" s="400">
        <f>SUM(AN6:AN19,AN23)</f>
        <v>23560.399999999994</v>
      </c>
      <c r="AO24" s="400">
        <f>SUM(AO6:AO19,AO23)</f>
        <v>23929.499999999996</v>
      </c>
      <c r="AP24" s="401">
        <f>(SUM(AP6:AP23))-AP22-AP20</f>
        <v>24159.7</v>
      </c>
      <c r="AQ24" s="399">
        <f t="shared" ref="AQ24:AZ24" si="2">SUM(AQ6:AQ19,AQ23)</f>
        <v>23871.599999999999</v>
      </c>
      <c r="AR24" s="753">
        <f t="shared" si="2"/>
        <v>25679.300000000003</v>
      </c>
      <c r="AS24" s="400">
        <f t="shared" si="2"/>
        <v>24938.499999999993</v>
      </c>
      <c r="AT24" s="400">
        <f t="shared" si="2"/>
        <v>25775.3</v>
      </c>
      <c r="AU24" s="399">
        <f t="shared" si="2"/>
        <v>25716.600000000002</v>
      </c>
      <c r="AV24" s="753">
        <f t="shared" si="2"/>
        <v>25712.899999999998</v>
      </c>
      <c r="AW24" s="400">
        <f t="shared" si="2"/>
        <v>26583.600000000002</v>
      </c>
      <c r="AX24" s="401">
        <f t="shared" si="2"/>
        <v>28149.199999999997</v>
      </c>
      <c r="AY24" s="399">
        <f t="shared" si="2"/>
        <v>28081.600000000002</v>
      </c>
      <c r="AZ24" s="753">
        <f t="shared" si="2"/>
        <v>28047.200000000008</v>
      </c>
      <c r="BA24" s="400"/>
      <c r="BB24" s="401"/>
      <c r="BC24" s="839"/>
      <c r="BD24" s="959"/>
      <c r="BE24" s="842"/>
      <c r="BH24" s="940"/>
    </row>
    <row r="25" spans="1:60" s="8" customFormat="1" ht="20.149999999999999" customHeight="1">
      <c r="A25" s="27" t="s">
        <v>167</v>
      </c>
      <c r="B25" s="125" t="s">
        <v>168</v>
      </c>
      <c r="C25" s="17">
        <f>176.114</f>
        <v>176.114</v>
      </c>
      <c r="D25" s="30">
        <f>(167251)*0.001</f>
        <v>167.251</v>
      </c>
      <c r="E25" s="30">
        <f>(171461)*0.001</f>
        <v>171.46100000000001</v>
      </c>
      <c r="F25" s="208">
        <f>(141652)*0.001</f>
        <v>141.65200000000002</v>
      </c>
      <c r="G25" s="30">
        <f>(155399)*0.001</f>
        <v>155.399</v>
      </c>
      <c r="H25" s="30">
        <f>(170743)*0.001</f>
        <v>170.74299999999999</v>
      </c>
      <c r="I25" s="30">
        <f>(208533)*0.001</f>
        <v>208.53300000000002</v>
      </c>
      <c r="J25" s="208">
        <f>(181341)*0.001</f>
        <v>181.34100000000001</v>
      </c>
      <c r="K25" s="40">
        <f>(228936)*0.001</f>
        <v>228.93600000000001</v>
      </c>
      <c r="L25" s="21">
        <v>199.1</v>
      </c>
      <c r="M25" s="21">
        <v>172.6</v>
      </c>
      <c r="N25" s="208">
        <v>152.1</v>
      </c>
      <c r="O25" s="17">
        <v>163.1</v>
      </c>
      <c r="P25" s="17">
        <v>170.4</v>
      </c>
      <c r="Q25" s="21">
        <v>255.6</v>
      </c>
      <c r="R25" s="208">
        <v>192.2</v>
      </c>
      <c r="S25" s="86">
        <v>234.7</v>
      </c>
      <c r="T25" s="86">
        <v>163.5</v>
      </c>
      <c r="U25" s="86">
        <v>219.1</v>
      </c>
      <c r="V25" s="208">
        <v>192</v>
      </c>
      <c r="W25" s="86">
        <v>179.8</v>
      </c>
      <c r="X25" s="86">
        <v>214.3</v>
      </c>
      <c r="Y25" s="86">
        <v>243.6</v>
      </c>
      <c r="Z25" s="208">
        <v>251.7</v>
      </c>
      <c r="AA25" s="86">
        <v>256.60000000000002</v>
      </c>
      <c r="AB25" s="86">
        <v>353.2</v>
      </c>
      <c r="AC25" s="86">
        <v>544.5</v>
      </c>
      <c r="AD25" s="208">
        <v>543.20000000000005</v>
      </c>
      <c r="AE25" s="86">
        <v>539.79999999999995</v>
      </c>
      <c r="AF25" s="86">
        <v>538.9</v>
      </c>
      <c r="AG25" s="86">
        <v>552.6</v>
      </c>
      <c r="AH25" s="208">
        <v>512.29999999999995</v>
      </c>
      <c r="AI25" s="86">
        <v>535.20000000000005</v>
      </c>
      <c r="AJ25" s="86">
        <v>516.20000000000005</v>
      </c>
      <c r="AK25" s="86">
        <v>525.9</v>
      </c>
      <c r="AL25" s="208">
        <v>413.2</v>
      </c>
      <c r="AM25" s="86">
        <v>412.7</v>
      </c>
      <c r="AN25" s="86">
        <v>477</v>
      </c>
      <c r="AO25" s="86">
        <v>925.1</v>
      </c>
      <c r="AP25" s="208">
        <v>630.6</v>
      </c>
      <c r="AQ25" s="86">
        <v>826.8</v>
      </c>
      <c r="AR25" s="751">
        <v>678.2</v>
      </c>
      <c r="AS25" s="767">
        <v>829.1</v>
      </c>
      <c r="AT25" s="208">
        <v>699.2</v>
      </c>
      <c r="AU25" s="86">
        <v>769.8</v>
      </c>
      <c r="AV25" s="767">
        <v>722.8</v>
      </c>
      <c r="AW25" s="767">
        <v>752.1</v>
      </c>
      <c r="AX25" s="241">
        <v>678.2</v>
      </c>
      <c r="AY25" s="86">
        <v>674.5</v>
      </c>
      <c r="AZ25" s="767">
        <v>634.1</v>
      </c>
      <c r="BA25" s="767"/>
      <c r="BB25" s="241"/>
      <c r="BC25" s="839"/>
      <c r="BD25" s="959"/>
      <c r="BE25" s="842"/>
    </row>
    <row r="26" spans="1:60" s="8" customFormat="1" ht="20.149999999999999" customHeight="1">
      <c r="A26" s="27" t="s">
        <v>169</v>
      </c>
      <c r="B26" s="125" t="s">
        <v>170</v>
      </c>
      <c r="C26" s="17"/>
      <c r="D26" s="30"/>
      <c r="E26" s="30"/>
      <c r="F26" s="208"/>
      <c r="G26" s="30"/>
      <c r="H26" s="30"/>
      <c r="I26" s="30"/>
      <c r="J26" s="208"/>
      <c r="K26" s="40"/>
      <c r="L26" s="21"/>
      <c r="M26" s="21"/>
      <c r="N26" s="208"/>
      <c r="O26" s="17"/>
      <c r="P26" s="17"/>
      <c r="Q26" s="21"/>
      <c r="R26" s="208"/>
      <c r="S26" s="86"/>
      <c r="T26" s="86"/>
      <c r="U26" s="86"/>
      <c r="V26" s="208"/>
      <c r="W26" s="86"/>
      <c r="X26" s="86"/>
      <c r="Y26" s="86"/>
      <c r="Z26" s="208"/>
      <c r="AA26" s="86">
        <v>680.8</v>
      </c>
      <c r="AB26" s="86">
        <v>681.5</v>
      </c>
      <c r="AC26" s="86">
        <v>655.20000000000005</v>
      </c>
      <c r="AD26" s="208">
        <v>648.4</v>
      </c>
      <c r="AE26" s="86">
        <v>657.6</v>
      </c>
      <c r="AF26" s="86">
        <v>651.70000000000005</v>
      </c>
      <c r="AG26" s="86">
        <v>639.20000000000005</v>
      </c>
      <c r="AH26" s="208">
        <v>638.70000000000005</v>
      </c>
      <c r="AI26" s="86">
        <v>628.1</v>
      </c>
      <c r="AJ26" s="86">
        <v>592.5</v>
      </c>
      <c r="AK26" s="86">
        <v>567.5</v>
      </c>
      <c r="AL26" s="208">
        <v>537.70000000000005</v>
      </c>
      <c r="AM26" s="86">
        <v>505.6</v>
      </c>
      <c r="AN26" s="86">
        <v>476.2</v>
      </c>
      <c r="AO26" s="86">
        <v>438.7</v>
      </c>
      <c r="AP26" s="208">
        <v>418</v>
      </c>
      <c r="AQ26" s="86">
        <v>393.8</v>
      </c>
      <c r="AR26" s="751">
        <v>374.1</v>
      </c>
      <c r="AS26" s="767">
        <v>361.5</v>
      </c>
      <c r="AT26" s="208">
        <v>362.9</v>
      </c>
      <c r="AU26" s="86">
        <v>377.5</v>
      </c>
      <c r="AV26" s="767">
        <v>375.3</v>
      </c>
      <c r="AW26" s="767">
        <v>352.2</v>
      </c>
      <c r="AX26" s="241">
        <v>349</v>
      </c>
      <c r="AY26" s="86">
        <v>340.8</v>
      </c>
      <c r="AZ26" s="767">
        <v>336.6</v>
      </c>
      <c r="BA26" s="767"/>
      <c r="BB26" s="241"/>
      <c r="BC26" s="839"/>
      <c r="BD26" s="959"/>
      <c r="BE26" s="842"/>
    </row>
    <row r="27" spans="1:60" s="7" customFormat="1" ht="20.149999999999999" customHeight="1">
      <c r="A27" s="27" t="s">
        <v>171</v>
      </c>
      <c r="B27" s="125" t="s">
        <v>172</v>
      </c>
      <c r="C27" s="17">
        <f>185.376</f>
        <v>185.376</v>
      </c>
      <c r="D27" s="30">
        <f>(185528)*0.001</f>
        <v>185.52799999999999</v>
      </c>
      <c r="E27" s="30">
        <f>(177054)*0.001</f>
        <v>177.054</v>
      </c>
      <c r="F27" s="208">
        <f>(161974)*0.001</f>
        <v>161.97399999999999</v>
      </c>
      <c r="G27" s="30">
        <f>(150701)*0.001</f>
        <v>150.70099999999999</v>
      </c>
      <c r="H27" s="30">
        <f>(157445)*0.001</f>
        <v>157.44499999999999</v>
      </c>
      <c r="I27" s="30">
        <f>(155698)*0.001</f>
        <v>155.69800000000001</v>
      </c>
      <c r="J27" s="208">
        <f>(146771)*0.001</f>
        <v>146.77100000000002</v>
      </c>
      <c r="K27" s="40">
        <f>(163072)*0.001</f>
        <v>163.072</v>
      </c>
      <c r="L27" s="16">
        <v>343.8</v>
      </c>
      <c r="M27" s="16">
        <v>316.60000000000002</v>
      </c>
      <c r="N27" s="208">
        <v>301.39999999999998</v>
      </c>
      <c r="O27" s="17">
        <v>252.9</v>
      </c>
      <c r="P27" s="17">
        <v>261.7</v>
      </c>
      <c r="Q27" s="16">
        <v>264.10000000000002</v>
      </c>
      <c r="R27" s="208">
        <v>281</v>
      </c>
      <c r="S27" s="86">
        <v>260.2</v>
      </c>
      <c r="T27" s="86">
        <v>270</v>
      </c>
      <c r="U27" s="86">
        <v>281</v>
      </c>
      <c r="V27" s="208">
        <v>278.7</v>
      </c>
      <c r="W27" s="86">
        <v>237.2</v>
      </c>
      <c r="X27" s="86">
        <v>279</v>
      </c>
      <c r="Y27" s="86">
        <v>295.60000000000002</v>
      </c>
      <c r="Z27" s="208">
        <v>283.7</v>
      </c>
      <c r="AA27" s="85">
        <v>305.3</v>
      </c>
      <c r="AB27" s="86">
        <v>362.1</v>
      </c>
      <c r="AC27" s="86">
        <v>387.6</v>
      </c>
      <c r="AD27" s="208">
        <v>394</v>
      </c>
      <c r="AE27" s="85">
        <v>333.7</v>
      </c>
      <c r="AF27" s="86">
        <v>344.5</v>
      </c>
      <c r="AG27" s="86">
        <v>359.6</v>
      </c>
      <c r="AH27" s="208">
        <v>306.8</v>
      </c>
      <c r="AI27" s="85">
        <v>398.3</v>
      </c>
      <c r="AJ27" s="86">
        <v>502.8</v>
      </c>
      <c r="AK27" s="86">
        <v>409</v>
      </c>
      <c r="AL27" s="208">
        <v>299.39999999999998</v>
      </c>
      <c r="AM27" s="85">
        <v>359.8</v>
      </c>
      <c r="AN27" s="85">
        <v>439.1</v>
      </c>
      <c r="AO27" s="86">
        <v>515</v>
      </c>
      <c r="AP27" s="208">
        <v>595.70000000000005</v>
      </c>
      <c r="AQ27" s="85">
        <v>597.5</v>
      </c>
      <c r="AR27" s="85">
        <v>935.5</v>
      </c>
      <c r="AS27" s="767">
        <v>888.7</v>
      </c>
      <c r="AT27" s="208">
        <v>1162.4000000000001</v>
      </c>
      <c r="AU27" s="85">
        <v>1272.2</v>
      </c>
      <c r="AV27" s="768">
        <v>1269.8</v>
      </c>
      <c r="AW27" s="768">
        <v>1341</v>
      </c>
      <c r="AX27" s="241">
        <v>1215.5999999999999</v>
      </c>
      <c r="AY27" s="85">
        <v>1229.3</v>
      </c>
      <c r="AZ27" s="768">
        <v>1205.9000000000001</v>
      </c>
      <c r="BA27" s="768"/>
      <c r="BB27" s="241"/>
      <c r="BC27" s="839"/>
      <c r="BD27" s="959"/>
      <c r="BE27" s="842"/>
    </row>
    <row r="28" spans="1:60" ht="20.149999999999999" customHeight="1">
      <c r="A28" s="709" t="s">
        <v>173</v>
      </c>
      <c r="B28" s="128" t="s">
        <v>174</v>
      </c>
      <c r="C28" s="230">
        <f>342.386</f>
        <v>342.38600000000002</v>
      </c>
      <c r="D28" s="236">
        <f>(382365)*0.001</f>
        <v>382.36500000000001</v>
      </c>
      <c r="E28" s="236">
        <f>(376949)*0.001</f>
        <v>376.94900000000001</v>
      </c>
      <c r="F28" s="241">
        <f>(375659)*0.001</f>
        <v>375.65899999999999</v>
      </c>
      <c r="G28" s="236">
        <f>(403593)*0.001</f>
        <v>403.59300000000002</v>
      </c>
      <c r="H28" s="236">
        <f>(410902)*0.001</f>
        <v>410.90199999999999</v>
      </c>
      <c r="I28" s="236">
        <f>(401503)*0.001</f>
        <v>401.50299999999999</v>
      </c>
      <c r="J28" s="241">
        <f>(374424)*0.001</f>
        <v>374.42400000000004</v>
      </c>
      <c r="K28" s="242">
        <f>(398589)*0.001</f>
        <v>398.589</v>
      </c>
      <c r="L28" s="233">
        <v>1374.4</v>
      </c>
      <c r="M28" s="233">
        <v>1369.9</v>
      </c>
      <c r="N28" s="241">
        <v>1453.4</v>
      </c>
      <c r="O28" s="230">
        <v>1599.5</v>
      </c>
      <c r="P28" s="230">
        <v>1988.6</v>
      </c>
      <c r="Q28" s="233">
        <v>1699.4</v>
      </c>
      <c r="R28" s="241">
        <v>1619.1</v>
      </c>
      <c r="S28" s="215">
        <v>1503.9</v>
      </c>
      <c r="T28" s="215">
        <v>1541.1</v>
      </c>
      <c r="U28" s="215">
        <v>1571.8</v>
      </c>
      <c r="V28" s="241">
        <v>1688</v>
      </c>
      <c r="W28" s="215">
        <v>1608.5</v>
      </c>
      <c r="X28" s="215">
        <v>1727</v>
      </c>
      <c r="Y28" s="215">
        <v>1758.5</v>
      </c>
      <c r="Z28" s="241">
        <v>1983.2</v>
      </c>
      <c r="AA28" s="215">
        <v>1990.7</v>
      </c>
      <c r="AB28" s="215">
        <v>2161.3000000000002</v>
      </c>
      <c r="AC28" s="215">
        <v>2197.3000000000002</v>
      </c>
      <c r="AD28" s="241">
        <v>2370.4</v>
      </c>
      <c r="AE28" s="215">
        <v>2334.6999999999998</v>
      </c>
      <c r="AF28" s="215">
        <v>2284.4</v>
      </c>
      <c r="AG28" s="215">
        <v>2291.6</v>
      </c>
      <c r="AH28" s="241">
        <v>2511.6</v>
      </c>
      <c r="AI28" s="215">
        <v>2335.9</v>
      </c>
      <c r="AJ28" s="215">
        <v>2298.1</v>
      </c>
      <c r="AK28" s="215">
        <v>2348.1999999999998</v>
      </c>
      <c r="AL28" s="241">
        <v>2390.4</v>
      </c>
      <c r="AM28" s="215">
        <v>2387.4</v>
      </c>
      <c r="AN28" s="215">
        <v>2441.5</v>
      </c>
      <c r="AO28" s="215">
        <v>2413.9</v>
      </c>
      <c r="AP28" s="241">
        <v>2435</v>
      </c>
      <c r="AQ28" s="790">
        <v>2424.3000000000002</v>
      </c>
      <c r="AR28" s="790">
        <v>2623.1</v>
      </c>
      <c r="AS28" s="790">
        <v>2669.6</v>
      </c>
      <c r="AT28" s="241">
        <v>2751.3</v>
      </c>
      <c r="AU28" s="790">
        <v>2614.1999999999998</v>
      </c>
      <c r="AV28" s="768">
        <v>2565.5</v>
      </c>
      <c r="AW28" s="768">
        <v>3022.5</v>
      </c>
      <c r="AX28" s="241">
        <v>2947.1</v>
      </c>
      <c r="AY28" s="790">
        <v>2914.1</v>
      </c>
      <c r="AZ28" s="768">
        <v>3007</v>
      </c>
      <c r="BA28" s="768"/>
      <c r="BB28" s="241"/>
      <c r="BC28" s="839"/>
      <c r="BD28" s="959"/>
      <c r="BE28" s="842"/>
    </row>
    <row r="29" spans="1:60" ht="20.149999999999999" customHeight="1">
      <c r="A29" s="709" t="s">
        <v>175</v>
      </c>
      <c r="B29" s="128" t="s">
        <v>176</v>
      </c>
      <c r="C29" s="230">
        <f>1.102</f>
        <v>1.1020000000000001</v>
      </c>
      <c r="D29" s="245">
        <f>0</f>
        <v>0</v>
      </c>
      <c r="E29" s="245">
        <f>0</f>
        <v>0</v>
      </c>
      <c r="F29" s="244">
        <f>0</f>
        <v>0</v>
      </c>
      <c r="G29" s="245">
        <f>0</f>
        <v>0</v>
      </c>
      <c r="H29" s="245">
        <f>0</f>
        <v>0</v>
      </c>
      <c r="I29" s="245">
        <f>0</f>
        <v>0</v>
      </c>
      <c r="J29" s="244">
        <v>0</v>
      </c>
      <c r="K29" s="246">
        <v>0</v>
      </c>
      <c r="L29" s="227">
        <v>0</v>
      </c>
      <c r="M29" s="227">
        <v>0</v>
      </c>
      <c r="N29" s="244" t="e">
        <f>0*($A$87)</f>
        <v>#VALUE!</v>
      </c>
      <c r="O29" s="245" t="e">
        <f>0*($A$87)</f>
        <v>#VALUE!</v>
      </c>
      <c r="P29" s="245">
        <v>0</v>
      </c>
      <c r="Q29" s="227">
        <v>0</v>
      </c>
      <c r="R29" s="244">
        <v>0</v>
      </c>
      <c r="S29" s="791">
        <v>0</v>
      </c>
      <c r="T29" s="791">
        <v>0</v>
      </c>
      <c r="U29" s="791">
        <v>0</v>
      </c>
      <c r="V29" s="244">
        <v>0</v>
      </c>
      <c r="W29" s="791">
        <v>0</v>
      </c>
      <c r="X29" s="791">
        <v>0</v>
      </c>
      <c r="Y29" s="791">
        <v>0</v>
      </c>
      <c r="Z29" s="244">
        <v>0</v>
      </c>
      <c r="AA29" s="215">
        <v>0</v>
      </c>
      <c r="AB29" s="792">
        <v>0</v>
      </c>
      <c r="AC29" s="215">
        <v>0</v>
      </c>
      <c r="AD29" s="244">
        <v>0</v>
      </c>
      <c r="AE29" s="215">
        <v>0</v>
      </c>
      <c r="AF29" s="791">
        <v>0</v>
      </c>
      <c r="AG29" s="215">
        <v>0</v>
      </c>
      <c r="AH29" s="244">
        <v>0</v>
      </c>
      <c r="AI29" s="215">
        <v>0</v>
      </c>
      <c r="AJ29" s="791">
        <v>0</v>
      </c>
      <c r="AK29" s="215">
        <v>0</v>
      </c>
      <c r="AL29" s="244">
        <v>0</v>
      </c>
      <c r="AM29" s="215">
        <v>0</v>
      </c>
      <c r="AN29" s="215">
        <v>0</v>
      </c>
      <c r="AO29" s="215">
        <v>0</v>
      </c>
      <c r="AP29" s="241">
        <v>15.3</v>
      </c>
      <c r="AQ29" s="793">
        <v>0</v>
      </c>
      <c r="AR29" s="794">
        <v>0</v>
      </c>
      <c r="AS29" s="794">
        <v>0</v>
      </c>
      <c r="AT29" s="241">
        <v>250.5</v>
      </c>
      <c r="AU29" s="790">
        <v>86.2</v>
      </c>
      <c r="AV29" s="767">
        <v>19.3</v>
      </c>
      <c r="AW29" s="767">
        <v>19.399999999999999</v>
      </c>
      <c r="AX29" s="241">
        <v>116.2</v>
      </c>
      <c r="AY29" s="790">
        <v>117.7</v>
      </c>
      <c r="AZ29" s="767">
        <v>13.4</v>
      </c>
      <c r="BA29" s="767"/>
      <c r="BB29" s="241"/>
      <c r="BC29" s="839"/>
      <c r="BD29" s="959"/>
      <c r="BE29" s="842"/>
    </row>
    <row r="30" spans="1:60" s="7" customFormat="1" ht="20.149999999999999" customHeight="1">
      <c r="A30" s="27" t="s">
        <v>177</v>
      </c>
      <c r="B30" s="125" t="s">
        <v>178</v>
      </c>
      <c r="C30" s="17">
        <f>9.894</f>
        <v>9.8940000000000001</v>
      </c>
      <c r="D30" s="30">
        <f>(263)*0.001</f>
        <v>0.26300000000000001</v>
      </c>
      <c r="E30" s="30">
        <f>(321)*0.001</f>
        <v>0.32100000000000001</v>
      </c>
      <c r="F30" s="208">
        <f>(6494)*0.001</f>
        <v>6.4939999999999998</v>
      </c>
      <c r="G30" s="30">
        <f>(1372)*0.001</f>
        <v>1.3720000000000001</v>
      </c>
      <c r="H30" s="30">
        <f>(1952)*0.001</f>
        <v>1.952</v>
      </c>
      <c r="I30" s="30">
        <f>(1195)*0.001</f>
        <v>1.1950000000000001</v>
      </c>
      <c r="J30" s="208">
        <f>(183)*0.001</f>
        <v>0.183</v>
      </c>
      <c r="K30" s="40">
        <f>(365)*0.001</f>
        <v>0.36499999999999999</v>
      </c>
      <c r="L30" s="16">
        <v>28</v>
      </c>
      <c r="M30" s="16">
        <v>26</v>
      </c>
      <c r="N30" s="208">
        <v>26</v>
      </c>
      <c r="O30" s="17">
        <v>28.9</v>
      </c>
      <c r="P30" s="17">
        <v>1.5</v>
      </c>
      <c r="Q30" s="16">
        <v>0.7</v>
      </c>
      <c r="R30" s="208">
        <v>0.7</v>
      </c>
      <c r="S30" s="86">
        <v>1.9</v>
      </c>
      <c r="T30" s="86">
        <v>1.4</v>
      </c>
      <c r="U30" s="86">
        <v>0.9</v>
      </c>
      <c r="V30" s="208">
        <v>29.1</v>
      </c>
      <c r="W30" s="86">
        <v>30.3</v>
      </c>
      <c r="X30" s="86">
        <v>17</v>
      </c>
      <c r="Y30" s="86">
        <v>25.3</v>
      </c>
      <c r="Z30" s="208">
        <v>1.3</v>
      </c>
      <c r="AA30" s="86">
        <v>55.8</v>
      </c>
      <c r="AB30" s="86">
        <v>68.7</v>
      </c>
      <c r="AC30" s="86">
        <v>65.400000000000006</v>
      </c>
      <c r="AD30" s="208">
        <v>34.6</v>
      </c>
      <c r="AE30" s="86">
        <v>36.799999999999997</v>
      </c>
      <c r="AF30" s="86">
        <v>5.6</v>
      </c>
      <c r="AG30" s="86">
        <v>4.5</v>
      </c>
      <c r="AH30" s="208">
        <v>4.8</v>
      </c>
      <c r="AI30" s="86">
        <v>7.1</v>
      </c>
      <c r="AJ30" s="86">
        <v>4.7</v>
      </c>
      <c r="AK30" s="86">
        <v>4.8</v>
      </c>
      <c r="AL30" s="208">
        <v>9</v>
      </c>
      <c r="AM30" s="86">
        <v>9.4</v>
      </c>
      <c r="AN30" s="86">
        <v>11.8</v>
      </c>
      <c r="AO30" s="86">
        <v>4.5999999999999996</v>
      </c>
      <c r="AP30" s="208">
        <v>4.5</v>
      </c>
      <c r="AQ30" s="86">
        <v>15.2</v>
      </c>
      <c r="AR30" s="751">
        <v>16.600000000000001</v>
      </c>
      <c r="AS30" s="769">
        <v>3.6</v>
      </c>
      <c r="AT30" s="208">
        <v>5</v>
      </c>
      <c r="AU30" s="86">
        <v>5.8</v>
      </c>
      <c r="AV30" s="767">
        <v>9.1</v>
      </c>
      <c r="AW30" s="767">
        <v>1.3</v>
      </c>
      <c r="AX30" s="241">
        <v>20</v>
      </c>
      <c r="AY30" s="86">
        <v>28</v>
      </c>
      <c r="AZ30" s="767">
        <v>25.3</v>
      </c>
      <c r="BA30" s="767"/>
      <c r="BB30" s="241"/>
      <c r="BC30" s="839"/>
      <c r="BD30" s="959"/>
      <c r="BE30" s="842"/>
    </row>
    <row r="31" spans="1:60" s="7" customFormat="1" ht="20.149999999999999" customHeight="1">
      <c r="A31" s="27" t="s">
        <v>179</v>
      </c>
      <c r="B31" s="125" t="s">
        <v>180</v>
      </c>
      <c r="C31" s="18">
        <v>0</v>
      </c>
      <c r="D31" s="30">
        <f>(53916)*0.001</f>
        <v>53.916000000000004</v>
      </c>
      <c r="E31" s="30">
        <f>(54038)*0.001</f>
        <v>54.038000000000004</v>
      </c>
      <c r="F31" s="208">
        <f>(57096)*0.001</f>
        <v>57.096000000000004</v>
      </c>
      <c r="G31" s="30">
        <f>(60035)*0.001</f>
        <v>60.035000000000004</v>
      </c>
      <c r="H31" s="30">
        <f>(63564)*0.001</f>
        <v>63.564</v>
      </c>
      <c r="I31" s="30">
        <f>(65852)*0.001</f>
        <v>65.852000000000004</v>
      </c>
      <c r="J31" s="208">
        <f>(70055)*0.001</f>
        <v>70.055000000000007</v>
      </c>
      <c r="K31" s="40">
        <f>(70958)*0.001</f>
        <v>70.957999999999998</v>
      </c>
      <c r="L31" s="16">
        <v>91.2</v>
      </c>
      <c r="M31" s="16">
        <v>117.3</v>
      </c>
      <c r="N31" s="208">
        <v>141.69999999999999</v>
      </c>
      <c r="O31" s="17">
        <v>165.3</v>
      </c>
      <c r="P31" s="17">
        <v>186.1</v>
      </c>
      <c r="Q31" s="16">
        <v>200.4</v>
      </c>
      <c r="R31" s="208">
        <v>212.7</v>
      </c>
      <c r="S31" s="86">
        <v>213.3</v>
      </c>
      <c r="T31" s="86">
        <v>209.1</v>
      </c>
      <c r="U31" s="86">
        <v>207.6</v>
      </c>
      <c r="V31" s="208">
        <v>207.2</v>
      </c>
      <c r="W31" s="86">
        <v>205.7</v>
      </c>
      <c r="X31" s="86">
        <v>202.3</v>
      </c>
      <c r="Y31" s="86">
        <v>203.5</v>
      </c>
      <c r="Z31" s="208">
        <v>207.9</v>
      </c>
      <c r="AA31" s="86">
        <v>206.9</v>
      </c>
      <c r="AB31" s="86">
        <v>230.1</v>
      </c>
      <c r="AC31" s="86">
        <v>230.1</v>
      </c>
      <c r="AD31" s="208">
        <v>218.5</v>
      </c>
      <c r="AE31" s="86">
        <v>221.6</v>
      </c>
      <c r="AF31" s="86">
        <v>221.7</v>
      </c>
      <c r="AG31" s="86">
        <v>227.5</v>
      </c>
      <c r="AH31" s="208">
        <v>225.7</v>
      </c>
      <c r="AI31" s="86">
        <v>222.1</v>
      </c>
      <c r="AJ31" s="86">
        <v>221.4</v>
      </c>
      <c r="AK31" s="86">
        <v>218.5</v>
      </c>
      <c r="AL31" s="208">
        <v>222.4</v>
      </c>
      <c r="AM31" s="86">
        <v>222.9</v>
      </c>
      <c r="AN31" s="86">
        <v>222.5</v>
      </c>
      <c r="AO31" s="86">
        <v>223.8</v>
      </c>
      <c r="AP31" s="208">
        <v>226.8</v>
      </c>
      <c r="AQ31" s="86">
        <v>221.2</v>
      </c>
      <c r="AR31" s="751">
        <v>220</v>
      </c>
      <c r="AS31" s="767">
        <v>216.6</v>
      </c>
      <c r="AT31" s="208">
        <v>217.3</v>
      </c>
      <c r="AU31" s="86">
        <v>214.8</v>
      </c>
      <c r="AV31" s="767">
        <v>213.5</v>
      </c>
      <c r="AW31" s="767">
        <v>226.3</v>
      </c>
      <c r="AX31" s="241">
        <v>227.4</v>
      </c>
      <c r="AY31" s="86">
        <v>241</v>
      </c>
      <c r="AZ31" s="767">
        <v>244.1</v>
      </c>
      <c r="BA31" s="767"/>
      <c r="BB31" s="241"/>
      <c r="BC31" s="839"/>
      <c r="BD31" s="959"/>
      <c r="BE31" s="842"/>
    </row>
    <row r="32" spans="1:60" s="7" customFormat="1" ht="20.149999999999999" customHeight="1">
      <c r="A32" s="27" t="s">
        <v>181</v>
      </c>
      <c r="B32" s="125" t="s">
        <v>182</v>
      </c>
      <c r="C32" s="17">
        <f>136.299</f>
        <v>136.29900000000001</v>
      </c>
      <c r="D32" s="30">
        <f>(73814)*0.001</f>
        <v>73.814000000000007</v>
      </c>
      <c r="E32" s="30">
        <f>(53239)*0.001</f>
        <v>53.239000000000004</v>
      </c>
      <c r="F32" s="208">
        <f>(71968)*0.001</f>
        <v>71.968000000000004</v>
      </c>
      <c r="G32" s="30">
        <f>(109187)*0.001</f>
        <v>109.187</v>
      </c>
      <c r="H32" s="30">
        <f>(93754)*0.001</f>
        <v>93.754000000000005</v>
      </c>
      <c r="I32" s="30">
        <f>(113708)*0.001</f>
        <v>113.708</v>
      </c>
      <c r="J32" s="208">
        <f>(105360)*0.001</f>
        <v>105.36</v>
      </c>
      <c r="K32" s="40">
        <f>(106732)*0.001</f>
        <v>106.732</v>
      </c>
      <c r="L32" s="16">
        <v>221.9</v>
      </c>
      <c r="M32" s="16">
        <v>224.2</v>
      </c>
      <c r="N32" s="208">
        <v>160.1</v>
      </c>
      <c r="O32" s="17">
        <v>212.9</v>
      </c>
      <c r="P32" s="17">
        <v>226.2</v>
      </c>
      <c r="Q32" s="16">
        <v>255</v>
      </c>
      <c r="R32" s="208">
        <v>399.5</v>
      </c>
      <c r="S32" s="86">
        <v>69.599999999999994</v>
      </c>
      <c r="T32" s="86">
        <v>62.8</v>
      </c>
      <c r="U32" s="86">
        <v>54.9</v>
      </c>
      <c r="V32" s="208">
        <v>38.700000000000003</v>
      </c>
      <c r="W32" s="86">
        <v>72.3</v>
      </c>
      <c r="X32" s="86">
        <v>60.7</v>
      </c>
      <c r="Y32" s="86">
        <v>61.7</v>
      </c>
      <c r="Z32" s="208">
        <v>31.7</v>
      </c>
      <c r="AA32" s="86">
        <v>70.2</v>
      </c>
      <c r="AB32" s="86">
        <v>82.5</v>
      </c>
      <c r="AC32" s="86">
        <v>56.8</v>
      </c>
      <c r="AD32" s="208">
        <v>34.9</v>
      </c>
      <c r="AE32" s="86">
        <v>71.099999999999994</v>
      </c>
      <c r="AF32" s="86">
        <v>55.5</v>
      </c>
      <c r="AG32" s="86">
        <v>52.2</v>
      </c>
      <c r="AH32" s="208">
        <v>31.9</v>
      </c>
      <c r="AI32" s="86">
        <v>72.3</v>
      </c>
      <c r="AJ32" s="86">
        <v>57</v>
      </c>
      <c r="AK32" s="86">
        <v>44.2</v>
      </c>
      <c r="AL32" s="208">
        <v>39.299999999999997</v>
      </c>
      <c r="AM32" s="86">
        <v>57.7</v>
      </c>
      <c r="AN32" s="86">
        <v>44.2</v>
      </c>
      <c r="AO32" s="86">
        <v>44.5</v>
      </c>
      <c r="AP32" s="208">
        <v>107.1</v>
      </c>
      <c r="AQ32" s="86">
        <v>191.1</v>
      </c>
      <c r="AR32" s="751">
        <v>225.2</v>
      </c>
      <c r="AS32" s="767">
        <v>182.5</v>
      </c>
      <c r="AT32" s="208">
        <v>137.19999999999999</v>
      </c>
      <c r="AU32" s="86">
        <v>152.4</v>
      </c>
      <c r="AV32" s="767">
        <v>148.69999999999999</v>
      </c>
      <c r="AW32" s="855">
        <v>158.69999999999999</v>
      </c>
      <c r="AX32" s="241">
        <v>139.69999999999999</v>
      </c>
      <c r="AY32" s="86">
        <v>207</v>
      </c>
      <c r="AZ32" s="767">
        <v>177.6</v>
      </c>
      <c r="BA32" s="855"/>
      <c r="BB32" s="241"/>
      <c r="BC32" s="839"/>
      <c r="BD32" s="959"/>
      <c r="BE32" s="842"/>
    </row>
    <row r="33" spans="1:57" s="15" customFormat="1" ht="20.149999999999999" customHeight="1">
      <c r="A33" s="29" t="s">
        <v>161</v>
      </c>
      <c r="B33" s="129" t="s">
        <v>183</v>
      </c>
      <c r="C33" s="18">
        <v>0</v>
      </c>
      <c r="D33" s="18">
        <f>0</f>
        <v>0</v>
      </c>
      <c r="E33" s="18">
        <v>0</v>
      </c>
      <c r="F33" s="210">
        <f>0</f>
        <v>0</v>
      </c>
      <c r="G33" s="18">
        <f>0</f>
        <v>0</v>
      </c>
      <c r="H33" s="18">
        <v>0</v>
      </c>
      <c r="I33" s="18">
        <f>0</f>
        <v>0</v>
      </c>
      <c r="J33" s="210">
        <v>0</v>
      </c>
      <c r="K33" s="31">
        <v>0</v>
      </c>
      <c r="L33" s="18" t="e">
        <f>0*($A$87)</f>
        <v>#VALUE!</v>
      </c>
      <c r="M33" s="18" t="e">
        <f>0*($A$87)</f>
        <v>#VALUE!</v>
      </c>
      <c r="N33" s="210">
        <v>22.2</v>
      </c>
      <c r="O33" s="22">
        <v>26.3</v>
      </c>
      <c r="P33" s="22">
        <v>27.3</v>
      </c>
      <c r="Q33" s="25">
        <v>3.8</v>
      </c>
      <c r="R33" s="210">
        <v>10.5</v>
      </c>
      <c r="S33" s="87">
        <v>0.2</v>
      </c>
      <c r="T33" s="87">
        <v>3.6</v>
      </c>
      <c r="U33" s="87">
        <v>4.8</v>
      </c>
      <c r="V33" s="210">
        <v>6.7</v>
      </c>
      <c r="W33" s="87">
        <v>4.9000000000000004</v>
      </c>
      <c r="X33" s="87">
        <v>5.3</v>
      </c>
      <c r="Y33" s="87">
        <v>6.4</v>
      </c>
      <c r="Z33" s="210">
        <v>5.0999999999999996</v>
      </c>
      <c r="AA33" s="87">
        <v>2.7</v>
      </c>
      <c r="AB33" s="87">
        <v>1.6</v>
      </c>
      <c r="AC33" s="87">
        <v>0.4</v>
      </c>
      <c r="AD33" s="210">
        <v>0</v>
      </c>
      <c r="AE33" s="87">
        <v>0</v>
      </c>
      <c r="AF33" s="87">
        <v>0</v>
      </c>
      <c r="AG33" s="86">
        <v>0</v>
      </c>
      <c r="AH33" s="210">
        <v>0.2</v>
      </c>
      <c r="AI33" s="87">
        <v>0</v>
      </c>
      <c r="AJ33" s="87">
        <v>0.2</v>
      </c>
      <c r="AK33" s="87">
        <v>0</v>
      </c>
      <c r="AL33" s="646">
        <v>2</v>
      </c>
      <c r="AM33" s="87">
        <v>1.6</v>
      </c>
      <c r="AN33" s="195">
        <v>1.6</v>
      </c>
      <c r="AO33" s="87">
        <v>3.6</v>
      </c>
      <c r="AP33" s="646">
        <v>60.9</v>
      </c>
      <c r="AQ33" s="195">
        <v>108.8</v>
      </c>
      <c r="AR33" s="752">
        <v>138.80000000000001</v>
      </c>
      <c r="AS33" s="773">
        <v>99.3</v>
      </c>
      <c r="AT33" s="645">
        <v>63.9</v>
      </c>
      <c r="AU33" s="195">
        <v>36.5</v>
      </c>
      <c r="AV33" s="773">
        <v>29.6</v>
      </c>
      <c r="AW33" s="890">
        <v>12</v>
      </c>
      <c r="AX33" s="788">
        <v>21.6</v>
      </c>
      <c r="AY33" s="195">
        <v>33.9</v>
      </c>
      <c r="AZ33" s="773">
        <v>39.200000000000003</v>
      </c>
      <c r="BA33" s="890"/>
      <c r="BB33" s="788"/>
      <c r="BC33" s="839"/>
      <c r="BD33" s="959"/>
      <c r="BE33" s="842"/>
    </row>
    <row r="34" spans="1:57" s="7" customFormat="1" ht="20.149999999999999" customHeight="1">
      <c r="A34" s="27" t="s">
        <v>184</v>
      </c>
      <c r="B34" s="125" t="s">
        <v>185</v>
      </c>
      <c r="C34" s="18">
        <v>0</v>
      </c>
      <c r="D34" s="18">
        <f>0</f>
        <v>0</v>
      </c>
      <c r="E34" s="18">
        <v>0</v>
      </c>
      <c r="F34" s="210">
        <v>0</v>
      </c>
      <c r="G34" s="18">
        <f>0</f>
        <v>0</v>
      </c>
      <c r="H34" s="18">
        <v>0</v>
      </c>
      <c r="I34" s="18">
        <f>0</f>
        <v>0</v>
      </c>
      <c r="J34" s="210">
        <v>0</v>
      </c>
      <c r="K34" s="31">
        <v>0</v>
      </c>
      <c r="L34" s="26">
        <v>270</v>
      </c>
      <c r="M34" s="26">
        <v>30</v>
      </c>
      <c r="N34" s="210" t="e">
        <f>0*($A$87)</f>
        <v>#VALUE!</v>
      </c>
      <c r="O34" s="17">
        <v>42.7</v>
      </c>
      <c r="P34" s="17">
        <v>43.1</v>
      </c>
      <c r="Q34" s="19">
        <v>0</v>
      </c>
      <c r="R34" s="210">
        <v>0</v>
      </c>
      <c r="S34" s="86">
        <v>12.4</v>
      </c>
      <c r="T34" s="86">
        <v>0</v>
      </c>
      <c r="U34" s="86">
        <v>0</v>
      </c>
      <c r="V34" s="210">
        <v>0</v>
      </c>
      <c r="W34" s="86">
        <v>0</v>
      </c>
      <c r="X34" s="86">
        <v>0</v>
      </c>
      <c r="Y34" s="86">
        <v>0</v>
      </c>
      <c r="Z34" s="210">
        <v>0</v>
      </c>
      <c r="AA34" s="86">
        <v>0</v>
      </c>
      <c r="AB34" s="86">
        <v>0</v>
      </c>
      <c r="AC34" s="86">
        <v>0</v>
      </c>
      <c r="AD34" s="210">
        <v>0</v>
      </c>
      <c r="AE34" s="86">
        <v>0</v>
      </c>
      <c r="AF34" s="86">
        <v>0</v>
      </c>
      <c r="AG34" s="86">
        <v>0</v>
      </c>
      <c r="AH34" s="210">
        <v>0</v>
      </c>
      <c r="AI34" s="86">
        <v>0</v>
      </c>
      <c r="AJ34" s="86">
        <v>0</v>
      </c>
      <c r="AK34" s="86">
        <v>0</v>
      </c>
      <c r="AL34" s="210">
        <v>0</v>
      </c>
      <c r="AM34" s="86">
        <v>0</v>
      </c>
      <c r="AN34" s="86">
        <v>0</v>
      </c>
      <c r="AO34" s="86">
        <v>0</v>
      </c>
      <c r="AP34" s="210">
        <v>0</v>
      </c>
      <c r="AQ34" s="86">
        <v>0</v>
      </c>
      <c r="AR34" s="751">
        <v>0</v>
      </c>
      <c r="AS34" s="751">
        <v>0</v>
      </c>
      <c r="AT34" s="210">
        <v>0</v>
      </c>
      <c r="AU34" s="86">
        <v>0</v>
      </c>
      <c r="AV34" s="751">
        <v>0</v>
      </c>
      <c r="AW34" s="751">
        <v>0</v>
      </c>
      <c r="AX34" s="244">
        <v>0</v>
      </c>
      <c r="AY34" s="86">
        <v>1.6</v>
      </c>
      <c r="AZ34" s="751">
        <v>0</v>
      </c>
      <c r="BA34" s="751"/>
      <c r="BB34" s="244"/>
      <c r="BC34" s="839"/>
      <c r="BD34" s="959"/>
      <c r="BE34" s="842"/>
    </row>
    <row r="35" spans="1:57" s="7" customFormat="1" ht="20.149999999999999" customHeight="1">
      <c r="A35" s="27" t="s">
        <v>186</v>
      </c>
      <c r="B35" s="125" t="s">
        <v>187</v>
      </c>
      <c r="C35" s="17">
        <f>422.627</f>
        <v>422.62700000000001</v>
      </c>
      <c r="D35" s="30">
        <f>(309519)*0.001</f>
        <v>309.51900000000001</v>
      </c>
      <c r="E35" s="30">
        <f>(225111)*0.001</f>
        <v>225.11100000000002</v>
      </c>
      <c r="F35" s="208">
        <f>(270354)*0.001</f>
        <v>270.35399999999998</v>
      </c>
      <c r="G35" s="30">
        <f>(324338)*0.001</f>
        <v>324.33800000000002</v>
      </c>
      <c r="H35" s="30">
        <f>(265803)*0.001</f>
        <v>265.803</v>
      </c>
      <c r="I35" s="30">
        <f>(215396)*0.001</f>
        <v>215.39600000000002</v>
      </c>
      <c r="J35" s="208">
        <f>(342251)*0.001</f>
        <v>342.25100000000003</v>
      </c>
      <c r="K35" s="40">
        <f>(428190)*0.001</f>
        <v>428.19</v>
      </c>
      <c r="L35" s="16">
        <v>1894.3</v>
      </c>
      <c r="M35" s="16">
        <v>1631</v>
      </c>
      <c r="N35" s="208">
        <v>1735.3</v>
      </c>
      <c r="O35" s="17">
        <v>1478.9</v>
      </c>
      <c r="P35" s="17">
        <v>1383.8</v>
      </c>
      <c r="Q35" s="16">
        <v>1059.5999999999999</v>
      </c>
      <c r="R35" s="208">
        <v>1512</v>
      </c>
      <c r="S35" s="86">
        <v>1538.6</v>
      </c>
      <c r="T35" s="86">
        <v>944.5</v>
      </c>
      <c r="U35" s="86">
        <v>1099.4000000000001</v>
      </c>
      <c r="V35" s="208">
        <v>1326</v>
      </c>
      <c r="W35" s="86">
        <v>1567.7</v>
      </c>
      <c r="X35" s="86">
        <v>1354.6</v>
      </c>
      <c r="Y35" s="86">
        <v>1080.2</v>
      </c>
      <c r="Z35" s="208">
        <v>1161.5</v>
      </c>
      <c r="AA35" s="86">
        <v>785.9</v>
      </c>
      <c r="AB35" s="86">
        <v>876.1</v>
      </c>
      <c r="AC35" s="86">
        <v>1151.5</v>
      </c>
      <c r="AD35" s="208">
        <v>1167</v>
      </c>
      <c r="AE35" s="86">
        <v>745.7</v>
      </c>
      <c r="AF35" s="86">
        <v>774.9</v>
      </c>
      <c r="AG35" s="86">
        <v>878.2</v>
      </c>
      <c r="AH35" s="208">
        <v>743.5</v>
      </c>
      <c r="AI35" s="86">
        <v>1130.5999999999999</v>
      </c>
      <c r="AJ35" s="86">
        <v>1310.4000000000001</v>
      </c>
      <c r="AK35" s="86">
        <v>1153.0999999999999</v>
      </c>
      <c r="AL35" s="208">
        <v>1355.4</v>
      </c>
      <c r="AM35" s="86">
        <v>1147.5999999999999</v>
      </c>
      <c r="AN35" s="86">
        <v>659.8</v>
      </c>
      <c r="AO35" s="86">
        <v>7462.8</v>
      </c>
      <c r="AP35" s="208">
        <v>3632.4</v>
      </c>
      <c r="AQ35" s="86">
        <v>3342.9</v>
      </c>
      <c r="AR35" s="751">
        <v>1053</v>
      </c>
      <c r="AS35" s="768">
        <v>1586</v>
      </c>
      <c r="AT35" s="208">
        <v>808.5</v>
      </c>
      <c r="AU35" s="86">
        <v>1463.5</v>
      </c>
      <c r="AV35" s="768">
        <v>3466.3</v>
      </c>
      <c r="AW35" s="768">
        <v>4162</v>
      </c>
      <c r="AX35" s="241">
        <v>3306</v>
      </c>
      <c r="AY35" s="86">
        <v>2694.9</v>
      </c>
      <c r="AZ35" s="768">
        <v>3060</v>
      </c>
      <c r="BA35" s="768"/>
      <c r="BB35" s="241"/>
      <c r="BC35" s="839"/>
      <c r="BD35" s="959"/>
      <c r="BE35" s="842"/>
    </row>
    <row r="36" spans="1:57" s="7" customFormat="1" ht="20.149999999999999" customHeight="1" thickBot="1">
      <c r="A36" s="27" t="s">
        <v>188</v>
      </c>
      <c r="B36" s="125" t="s">
        <v>189</v>
      </c>
      <c r="C36" s="18">
        <v>0</v>
      </c>
      <c r="D36" s="18">
        <f>0</f>
        <v>0</v>
      </c>
      <c r="E36" s="18">
        <f>0</f>
        <v>0</v>
      </c>
      <c r="F36" s="210">
        <v>0</v>
      </c>
      <c r="G36" s="18">
        <f>0</f>
        <v>0</v>
      </c>
      <c r="H36" s="18">
        <v>0</v>
      </c>
      <c r="I36" s="18">
        <f>0</f>
        <v>0</v>
      </c>
      <c r="J36" s="210">
        <v>0</v>
      </c>
      <c r="K36" s="31">
        <v>0</v>
      </c>
      <c r="L36" s="26">
        <v>12.6</v>
      </c>
      <c r="M36" s="26">
        <v>12.2</v>
      </c>
      <c r="N36" s="210">
        <v>12.6</v>
      </c>
      <c r="O36" s="17">
        <v>12.7</v>
      </c>
      <c r="P36" s="17">
        <v>12.8</v>
      </c>
      <c r="Q36" s="26">
        <v>12.4</v>
      </c>
      <c r="R36" s="210">
        <v>11.7</v>
      </c>
      <c r="S36" s="86">
        <v>31.4</v>
      </c>
      <c r="T36" s="86">
        <v>10.9</v>
      </c>
      <c r="U36" s="86">
        <v>10.8</v>
      </c>
      <c r="V36" s="210">
        <v>10.7</v>
      </c>
      <c r="W36" s="86">
        <v>9.6</v>
      </c>
      <c r="X36" s="86">
        <v>8</v>
      </c>
      <c r="Y36" s="86">
        <v>8.1999999999999993</v>
      </c>
      <c r="Z36" s="210">
        <v>10.5</v>
      </c>
      <c r="AA36" s="86">
        <v>11.6</v>
      </c>
      <c r="AB36" s="86">
        <v>11.7</v>
      </c>
      <c r="AC36" s="86">
        <v>11.6</v>
      </c>
      <c r="AD36" s="210">
        <v>11.7</v>
      </c>
      <c r="AE36" s="86">
        <v>11.3</v>
      </c>
      <c r="AF36" s="86">
        <v>8.9</v>
      </c>
      <c r="AG36" s="86">
        <v>8</v>
      </c>
      <c r="AH36" s="210">
        <v>9.6</v>
      </c>
      <c r="AI36" s="86">
        <v>10.199999999999999</v>
      </c>
      <c r="AJ36" s="86">
        <v>10.1</v>
      </c>
      <c r="AK36" s="86">
        <v>11.1</v>
      </c>
      <c r="AL36" s="210">
        <v>10.4</v>
      </c>
      <c r="AM36" s="86">
        <v>11.2</v>
      </c>
      <c r="AN36" s="86">
        <v>8.6999999999999993</v>
      </c>
      <c r="AO36" s="86">
        <v>9.5</v>
      </c>
      <c r="AP36" s="208">
        <v>11.9</v>
      </c>
      <c r="AQ36" s="86">
        <v>10.8</v>
      </c>
      <c r="AR36" s="751">
        <v>9</v>
      </c>
      <c r="AS36" s="86">
        <v>10.1</v>
      </c>
      <c r="AT36" s="208">
        <v>9.3000000000000007</v>
      </c>
      <c r="AU36" s="86">
        <v>9.9</v>
      </c>
      <c r="AV36" s="857">
        <v>12.2</v>
      </c>
      <c r="AW36" s="857">
        <v>19.7</v>
      </c>
      <c r="AX36" s="241">
        <v>19.7</v>
      </c>
      <c r="AY36" s="86">
        <v>24.3</v>
      </c>
      <c r="AZ36" s="857">
        <v>16.8</v>
      </c>
      <c r="BA36" s="857"/>
      <c r="BB36" s="241"/>
      <c r="BC36" s="839"/>
      <c r="BD36" s="959"/>
      <c r="BE36" s="842"/>
    </row>
    <row r="37" spans="1:57" s="224" customFormat="1" ht="25.25" customHeight="1" thickBot="1">
      <c r="A37" s="398" t="s">
        <v>190</v>
      </c>
      <c r="B37" s="398" t="s">
        <v>191</v>
      </c>
      <c r="C37" s="399">
        <f t="shared" ref="C37:M37" si="3">SUM(C25:C36)</f>
        <v>1273.798</v>
      </c>
      <c r="D37" s="400">
        <f t="shared" si="3"/>
        <v>1172.6559999999999</v>
      </c>
      <c r="E37" s="400">
        <f t="shared" si="3"/>
        <v>1058.173</v>
      </c>
      <c r="F37" s="401">
        <f t="shared" si="3"/>
        <v>1085.1969999999999</v>
      </c>
      <c r="G37" s="400">
        <f t="shared" si="3"/>
        <v>1204.625</v>
      </c>
      <c r="H37" s="400">
        <f t="shared" si="3"/>
        <v>1164.163</v>
      </c>
      <c r="I37" s="400">
        <f t="shared" si="3"/>
        <v>1161.885</v>
      </c>
      <c r="J37" s="401">
        <f t="shared" si="3"/>
        <v>1220.3850000000002</v>
      </c>
      <c r="K37" s="399">
        <f t="shared" si="3"/>
        <v>1396.8419999999999</v>
      </c>
      <c r="L37" s="400" t="e">
        <f t="shared" si="3"/>
        <v>#VALUE!</v>
      </c>
      <c r="M37" s="400" t="e">
        <f t="shared" si="3"/>
        <v>#VALUE!</v>
      </c>
      <c r="N37" s="401" t="e">
        <f t="shared" ref="N37:AQ37" si="4">SUM(N25:N36)-N33</f>
        <v>#VALUE!</v>
      </c>
      <c r="O37" s="399" t="e">
        <f t="shared" si="4"/>
        <v>#VALUE!</v>
      </c>
      <c r="P37" s="400">
        <f t="shared" si="4"/>
        <v>4274.2</v>
      </c>
      <c r="Q37" s="400">
        <f t="shared" si="4"/>
        <v>3747.2000000000003</v>
      </c>
      <c r="R37" s="401">
        <f t="shared" si="4"/>
        <v>4228.8999999999987</v>
      </c>
      <c r="S37" s="399">
        <f t="shared" si="4"/>
        <v>3866.0000000000005</v>
      </c>
      <c r="T37" s="400">
        <f t="shared" si="4"/>
        <v>3203.3</v>
      </c>
      <c r="U37" s="400">
        <f t="shared" si="4"/>
        <v>3445.5000000000005</v>
      </c>
      <c r="V37" s="401">
        <f t="shared" si="4"/>
        <v>3770.3999999999992</v>
      </c>
      <c r="W37" s="399">
        <f t="shared" si="4"/>
        <v>3911.1000000000004</v>
      </c>
      <c r="X37" s="400">
        <f t="shared" si="4"/>
        <v>3862.9</v>
      </c>
      <c r="Y37" s="400">
        <f t="shared" si="4"/>
        <v>3676.6</v>
      </c>
      <c r="Z37" s="401">
        <f t="shared" si="4"/>
        <v>3931.5</v>
      </c>
      <c r="AA37" s="399">
        <f t="shared" si="4"/>
        <v>4363.8</v>
      </c>
      <c r="AB37" s="400">
        <f t="shared" si="4"/>
        <v>4827.2</v>
      </c>
      <c r="AC37" s="400">
        <f t="shared" si="4"/>
        <v>5300.0000000000009</v>
      </c>
      <c r="AD37" s="401">
        <f t="shared" si="4"/>
        <v>5422.7</v>
      </c>
      <c r="AE37" s="399">
        <f t="shared" si="4"/>
        <v>4952.3000000000011</v>
      </c>
      <c r="AF37" s="400">
        <f t="shared" si="4"/>
        <v>4886.0999999999985</v>
      </c>
      <c r="AG37" s="400">
        <f t="shared" si="4"/>
        <v>5013.3999999999996</v>
      </c>
      <c r="AH37" s="401">
        <f t="shared" si="4"/>
        <v>4984.8999999999996</v>
      </c>
      <c r="AI37" s="399">
        <f t="shared" si="4"/>
        <v>5339.8</v>
      </c>
      <c r="AJ37" s="400">
        <f t="shared" si="4"/>
        <v>5513.2</v>
      </c>
      <c r="AK37" s="400">
        <f t="shared" si="4"/>
        <v>5282.3000000000011</v>
      </c>
      <c r="AL37" s="401">
        <f t="shared" si="4"/>
        <v>5277.2000000000007</v>
      </c>
      <c r="AM37" s="399">
        <f t="shared" si="4"/>
        <v>5114.2999999999993</v>
      </c>
      <c r="AN37" s="400">
        <f t="shared" si="4"/>
        <v>4780.8</v>
      </c>
      <c r="AO37" s="400">
        <f t="shared" si="4"/>
        <v>12037.9</v>
      </c>
      <c r="AP37" s="401">
        <f t="shared" si="4"/>
        <v>8077.3000000000011</v>
      </c>
      <c r="AQ37" s="399">
        <f t="shared" si="4"/>
        <v>8023.6</v>
      </c>
      <c r="AR37" s="753">
        <f>SUM(AR25:AR36)-AR33</f>
        <v>6134.7</v>
      </c>
      <c r="AS37" s="400">
        <f>SUM(AS25:AS36)-AS33</f>
        <v>6747.7000000000007</v>
      </c>
      <c r="AT37" s="401">
        <f>SUM(AT25:AT36)-AT33</f>
        <v>6403.6</v>
      </c>
      <c r="AU37" s="399">
        <f t="shared" ref="AU37:AV37" si="5">SUM(AU25:AU36)-AU33</f>
        <v>6966.2999999999993</v>
      </c>
      <c r="AV37" s="753">
        <f t="shared" si="5"/>
        <v>8802.5000000000018</v>
      </c>
      <c r="AW37" s="400">
        <f>SUM(AW25:AW36)-AW33</f>
        <v>10055.200000000001</v>
      </c>
      <c r="AX37" s="401">
        <f>SUM(AX25:AX36)-AX33</f>
        <v>9018.9</v>
      </c>
      <c r="AY37" s="399">
        <f t="shared" ref="AY37:AZ37" si="6">SUM(AY25:AY36)-AY33</f>
        <v>8473.1999999999989</v>
      </c>
      <c r="AZ37" s="753">
        <f t="shared" si="6"/>
        <v>8720.7999999999993</v>
      </c>
      <c r="BA37" s="400"/>
      <c r="BB37" s="401"/>
      <c r="BC37" s="839"/>
      <c r="BD37" s="959"/>
      <c r="BE37" s="842"/>
    </row>
    <row r="38" spans="1:57" s="7" customFormat="1" ht="20.149999999999999" customHeight="1">
      <c r="A38" s="223" t="s">
        <v>192</v>
      </c>
      <c r="B38" s="206" t="s">
        <v>193</v>
      </c>
      <c r="C38" s="18"/>
      <c r="D38" s="18"/>
      <c r="E38" s="18"/>
      <c r="F38" s="210"/>
      <c r="G38" s="18"/>
      <c r="H38" s="18"/>
      <c r="I38" s="18"/>
      <c r="J38" s="210"/>
      <c r="K38" s="31"/>
      <c r="L38" s="26"/>
      <c r="M38" s="26"/>
      <c r="N38" s="210"/>
      <c r="O38" s="17"/>
      <c r="P38" s="17"/>
      <c r="Q38" s="19"/>
      <c r="R38" s="210"/>
      <c r="S38" s="86"/>
      <c r="T38" s="86"/>
      <c r="U38" s="86"/>
      <c r="V38" s="210"/>
      <c r="W38" s="86"/>
      <c r="X38" s="86"/>
      <c r="Y38" s="86"/>
      <c r="Z38" s="210"/>
      <c r="AA38" s="86"/>
      <c r="AB38" s="86"/>
      <c r="AC38" s="86"/>
      <c r="AD38" s="210"/>
      <c r="AE38" s="86"/>
      <c r="AF38" s="86"/>
      <c r="AG38" s="86"/>
      <c r="AH38" s="210"/>
      <c r="AI38" s="86"/>
      <c r="AJ38" s="86"/>
      <c r="AK38" s="86"/>
      <c r="AL38" s="210"/>
      <c r="AM38" s="86">
        <v>3574.4</v>
      </c>
      <c r="AN38" s="207">
        <v>4581.1000000000004</v>
      </c>
      <c r="AO38" s="86">
        <v>0</v>
      </c>
      <c r="AP38" s="210">
        <v>0</v>
      </c>
      <c r="AQ38" s="86"/>
      <c r="AR38" s="543"/>
      <c r="AS38" s="86"/>
      <c r="AT38" s="208">
        <v>127.7</v>
      </c>
      <c r="AU38" s="86">
        <v>127.7</v>
      </c>
      <c r="AV38" s="543">
        <v>183.2</v>
      </c>
      <c r="AW38" s="86">
        <v>133.5</v>
      </c>
      <c r="AX38" s="208">
        <v>8.6</v>
      </c>
      <c r="AY38" s="86">
        <v>5.7</v>
      </c>
      <c r="AZ38" s="543">
        <v>9.1</v>
      </c>
      <c r="BA38" s="86"/>
      <c r="BB38" s="208"/>
      <c r="BC38" s="839"/>
      <c r="BD38" s="959"/>
      <c r="BE38" s="842"/>
    </row>
    <row r="39" spans="1:57" s="7" customFormat="1" ht="20.149999999999999" customHeight="1">
      <c r="A39" s="393" t="s">
        <v>194</v>
      </c>
      <c r="B39" s="394" t="s">
        <v>195</v>
      </c>
      <c r="C39" s="18"/>
      <c r="D39" s="18"/>
      <c r="E39" s="18"/>
      <c r="F39" s="210"/>
      <c r="G39" s="18"/>
      <c r="H39" s="18"/>
      <c r="I39" s="18"/>
      <c r="J39" s="210"/>
      <c r="K39" s="31"/>
      <c r="L39" s="26"/>
      <c r="M39" s="26"/>
      <c r="N39" s="210"/>
      <c r="O39" s="17"/>
      <c r="P39" s="17"/>
      <c r="Q39" s="19"/>
      <c r="R39" s="210"/>
      <c r="S39" s="86"/>
      <c r="T39" s="86"/>
      <c r="U39" s="86"/>
      <c r="V39" s="210"/>
      <c r="W39" s="86"/>
      <c r="X39" s="86"/>
      <c r="Y39" s="86"/>
      <c r="Z39" s="210"/>
      <c r="AA39" s="86"/>
      <c r="AB39" s="86"/>
      <c r="AC39" s="86"/>
      <c r="AD39" s="210"/>
      <c r="AE39" s="86"/>
      <c r="AF39" s="86"/>
      <c r="AG39" s="86"/>
      <c r="AH39" s="210"/>
      <c r="AI39" s="86"/>
      <c r="AJ39" s="86"/>
      <c r="AK39" s="86"/>
      <c r="AL39" s="210"/>
      <c r="AM39" s="87">
        <v>108.5</v>
      </c>
      <c r="AN39" s="87">
        <v>95.5</v>
      </c>
      <c r="AO39" s="86">
        <v>0</v>
      </c>
      <c r="AP39" s="210"/>
      <c r="AQ39" s="87"/>
      <c r="AR39" s="754"/>
      <c r="AS39" s="86"/>
      <c r="AT39" s="210"/>
      <c r="AU39" s="87"/>
      <c r="AV39" s="754"/>
      <c r="AW39" s="86"/>
      <c r="AX39" s="788">
        <v>1.2</v>
      </c>
      <c r="AY39" s="86">
        <v>0</v>
      </c>
      <c r="AZ39" s="754">
        <v>0</v>
      </c>
      <c r="BA39" s="86"/>
      <c r="BB39" s="788"/>
      <c r="BC39" s="839"/>
      <c r="BD39" s="959"/>
      <c r="BE39" s="842"/>
    </row>
    <row r="40" spans="1:57" s="225" customFormat="1" ht="25.25" customHeight="1">
      <c r="A40" s="389" t="s">
        <v>196</v>
      </c>
      <c r="B40" s="389" t="s">
        <v>197</v>
      </c>
      <c r="C40" s="390">
        <f t="shared" ref="C40:AL40" si="7">C24+C37</f>
        <v>5502.7539999999999</v>
      </c>
      <c r="D40" s="391">
        <f t="shared" si="7"/>
        <v>5597.8010000000004</v>
      </c>
      <c r="E40" s="391">
        <f t="shared" si="7"/>
        <v>5514.8739999999998</v>
      </c>
      <c r="F40" s="392">
        <f t="shared" si="7"/>
        <v>5561.3450000000003</v>
      </c>
      <c r="G40" s="391">
        <f t="shared" si="7"/>
        <v>5629.4740000000011</v>
      </c>
      <c r="H40" s="391">
        <f t="shared" si="7"/>
        <v>5592.7070000000003</v>
      </c>
      <c r="I40" s="391">
        <f t="shared" si="7"/>
        <v>5597.9810000000007</v>
      </c>
      <c r="J40" s="392">
        <f t="shared" si="7"/>
        <v>5676.2300000000005</v>
      </c>
      <c r="K40" s="390">
        <f t="shared" si="7"/>
        <v>5851.1940000000004</v>
      </c>
      <c r="L40" s="391" t="e">
        <f t="shared" si="7"/>
        <v>#VALUE!</v>
      </c>
      <c r="M40" s="391" t="e">
        <f t="shared" si="7"/>
        <v>#VALUE!</v>
      </c>
      <c r="N40" s="392" t="e">
        <f t="shared" si="7"/>
        <v>#VALUE!</v>
      </c>
      <c r="O40" s="390" t="e">
        <f t="shared" si="7"/>
        <v>#VALUE!</v>
      </c>
      <c r="P40" s="391">
        <f t="shared" si="7"/>
        <v>27141.8</v>
      </c>
      <c r="Q40" s="391">
        <f t="shared" si="7"/>
        <v>26143.5</v>
      </c>
      <c r="R40" s="392">
        <f t="shared" si="7"/>
        <v>26490.099999999995</v>
      </c>
      <c r="S40" s="390">
        <f t="shared" si="7"/>
        <v>28355.499999999996</v>
      </c>
      <c r="T40" s="391">
        <f t="shared" si="7"/>
        <v>27581.1</v>
      </c>
      <c r="U40" s="391">
        <f t="shared" si="7"/>
        <v>27493.100000000002</v>
      </c>
      <c r="V40" s="392">
        <f t="shared" si="7"/>
        <v>27729.299999999996</v>
      </c>
      <c r="W40" s="390">
        <f t="shared" si="7"/>
        <v>27553.199999999997</v>
      </c>
      <c r="X40" s="391">
        <f t="shared" si="7"/>
        <v>27317.5</v>
      </c>
      <c r="Y40" s="391">
        <f t="shared" si="7"/>
        <v>26892.599999999995</v>
      </c>
      <c r="Z40" s="392">
        <f t="shared" si="7"/>
        <v>27756</v>
      </c>
      <c r="AA40" s="390">
        <f t="shared" si="7"/>
        <v>27894.399999999998</v>
      </c>
      <c r="AB40" s="391">
        <f t="shared" si="7"/>
        <v>29751.599999999999</v>
      </c>
      <c r="AC40" s="391">
        <f t="shared" si="7"/>
        <v>30395.3</v>
      </c>
      <c r="AD40" s="392">
        <f t="shared" si="7"/>
        <v>30696.800000000003</v>
      </c>
      <c r="AE40" s="390">
        <f t="shared" si="7"/>
        <v>31463.800000000003</v>
      </c>
      <c r="AF40" s="391">
        <f t="shared" si="7"/>
        <v>31359.200000000001</v>
      </c>
      <c r="AG40" s="391">
        <f t="shared" si="7"/>
        <v>31277.699999999997</v>
      </c>
      <c r="AH40" s="392">
        <f t="shared" si="7"/>
        <v>32589.599999999999</v>
      </c>
      <c r="AI40" s="390">
        <f t="shared" si="7"/>
        <v>32658.700000000004</v>
      </c>
      <c r="AJ40" s="391">
        <f t="shared" si="7"/>
        <v>32622.799999999996</v>
      </c>
      <c r="AK40" s="391">
        <f t="shared" si="7"/>
        <v>32814.1</v>
      </c>
      <c r="AL40" s="392">
        <f t="shared" si="7"/>
        <v>33115</v>
      </c>
      <c r="AM40" s="390">
        <f>AM24+AM37+AM38</f>
        <v>32954.499999999993</v>
      </c>
      <c r="AN40" s="391">
        <f>AN24+AN37+AN38</f>
        <v>32922.299999999996</v>
      </c>
      <c r="AO40" s="391">
        <f>AO24+AO37</f>
        <v>35967.399999999994</v>
      </c>
      <c r="AP40" s="392">
        <f>AP24+AP37</f>
        <v>32237</v>
      </c>
      <c r="AQ40" s="391">
        <f>AQ24+AQ37+AQ38</f>
        <v>31895.199999999997</v>
      </c>
      <c r="AR40" s="391">
        <f>AR24+AR37+AR38</f>
        <v>31814.000000000004</v>
      </c>
      <c r="AS40" s="391">
        <f>AS24+AS37</f>
        <v>31686.199999999993</v>
      </c>
      <c r="AT40" s="392">
        <f t="shared" ref="AT40:AZ40" si="8">AT24+AT37+AT38</f>
        <v>32306.600000000002</v>
      </c>
      <c r="AU40" s="391">
        <f t="shared" si="8"/>
        <v>32810.6</v>
      </c>
      <c r="AV40" s="391">
        <f t="shared" si="8"/>
        <v>34698.6</v>
      </c>
      <c r="AW40" s="391">
        <f t="shared" si="8"/>
        <v>36772.300000000003</v>
      </c>
      <c r="AX40" s="392">
        <f t="shared" si="8"/>
        <v>37176.699999999997</v>
      </c>
      <c r="AY40" s="391">
        <f t="shared" si="8"/>
        <v>36560.5</v>
      </c>
      <c r="AZ40" s="391">
        <f t="shared" si="8"/>
        <v>36777.100000000006</v>
      </c>
      <c r="BA40" s="391"/>
      <c r="BB40" s="392"/>
      <c r="BC40" s="839"/>
      <c r="BD40" s="959"/>
      <c r="BE40" s="842"/>
    </row>
    <row r="41" spans="1:57" s="397" customFormat="1" ht="38.25" customHeight="1">
      <c r="A41" s="395" t="s">
        <v>198</v>
      </c>
      <c r="B41" s="396" t="s">
        <v>199</v>
      </c>
      <c r="C41" s="434"/>
      <c r="D41" s="434"/>
      <c r="E41" s="435"/>
      <c r="F41" s="436"/>
      <c r="G41" s="434"/>
      <c r="H41" s="434"/>
      <c r="I41" s="435"/>
      <c r="J41" s="436"/>
      <c r="K41" s="434"/>
      <c r="L41" s="434"/>
      <c r="M41" s="435"/>
      <c r="N41" s="436"/>
      <c r="O41" s="434"/>
      <c r="P41" s="434"/>
      <c r="Q41" s="435"/>
      <c r="R41" s="436"/>
      <c r="S41" s="434"/>
      <c r="T41" s="434"/>
      <c r="U41" s="435"/>
      <c r="V41" s="436"/>
      <c r="W41" s="434"/>
      <c r="X41" s="434"/>
      <c r="Y41" s="435"/>
      <c r="Z41" s="436"/>
      <c r="AA41" s="434"/>
      <c r="AB41" s="434"/>
      <c r="AC41" s="435"/>
      <c r="AD41" s="436"/>
      <c r="AE41" s="434"/>
      <c r="AF41" s="434"/>
      <c r="AG41" s="435"/>
      <c r="AH41" s="436"/>
      <c r="AI41" s="434"/>
      <c r="AJ41" s="434"/>
      <c r="AK41" s="435"/>
      <c r="AL41" s="436"/>
      <c r="AM41" s="434"/>
      <c r="AN41" s="434"/>
      <c r="AO41" s="435"/>
      <c r="AP41" s="436"/>
      <c r="AQ41" s="434"/>
      <c r="AR41" s="434"/>
      <c r="AS41" s="435"/>
      <c r="AT41" s="436"/>
      <c r="AU41" s="434"/>
      <c r="AV41" s="854"/>
      <c r="AW41" s="435"/>
      <c r="AX41" s="436"/>
      <c r="AY41" s="434"/>
      <c r="AZ41" s="854"/>
      <c r="BA41" s="435"/>
      <c r="BB41" s="436"/>
      <c r="BC41" s="839"/>
      <c r="BD41" s="959"/>
      <c r="BE41" s="842"/>
    </row>
    <row r="42" spans="1:57" s="7" customFormat="1" ht="20.149999999999999" customHeight="1">
      <c r="A42" s="27" t="s">
        <v>200</v>
      </c>
      <c r="B42" s="125" t="s">
        <v>201</v>
      </c>
      <c r="C42" s="41">
        <f>13.934</f>
        <v>13.933999999999999</v>
      </c>
      <c r="D42" s="41">
        <f t="shared" ref="D42:K42" si="9">(13934)*0.001</f>
        <v>13.934000000000001</v>
      </c>
      <c r="E42" s="41">
        <f t="shared" si="9"/>
        <v>13.934000000000001</v>
      </c>
      <c r="F42" s="234">
        <f t="shared" si="9"/>
        <v>13.934000000000001</v>
      </c>
      <c r="G42" s="235">
        <f t="shared" si="9"/>
        <v>13.934000000000001</v>
      </c>
      <c r="H42" s="235">
        <f t="shared" si="9"/>
        <v>13.934000000000001</v>
      </c>
      <c r="I42" s="235">
        <f t="shared" si="9"/>
        <v>13.934000000000001</v>
      </c>
      <c r="J42" s="235">
        <f t="shared" si="9"/>
        <v>13.934000000000001</v>
      </c>
      <c r="K42" s="247">
        <f t="shared" si="9"/>
        <v>13.934000000000001</v>
      </c>
      <c r="L42" s="233">
        <v>25.6</v>
      </c>
      <c r="M42" s="233">
        <v>25.6</v>
      </c>
      <c r="N42" s="240">
        <v>25.6</v>
      </c>
      <c r="O42" s="243">
        <v>25.6</v>
      </c>
      <c r="P42" s="243">
        <v>25.6</v>
      </c>
      <c r="Q42" s="243">
        <v>25.6</v>
      </c>
      <c r="R42" s="216">
        <v>25.6</v>
      </c>
      <c r="S42" s="215">
        <v>25.6</v>
      </c>
      <c r="T42" s="215">
        <v>25.6</v>
      </c>
      <c r="U42" s="215">
        <v>25.6</v>
      </c>
      <c r="V42" s="216">
        <v>25.6</v>
      </c>
      <c r="W42" s="215">
        <v>25.6</v>
      </c>
      <c r="X42" s="215">
        <v>25.6</v>
      </c>
      <c r="Y42" s="215">
        <v>25.6</v>
      </c>
      <c r="Z42" s="216">
        <v>25.6</v>
      </c>
      <c r="AA42" s="215">
        <v>25.6</v>
      </c>
      <c r="AB42" s="215">
        <v>25.6</v>
      </c>
      <c r="AC42" s="215">
        <v>25.6</v>
      </c>
      <c r="AD42" s="216">
        <v>25.6</v>
      </c>
      <c r="AE42" s="215">
        <v>25.6</v>
      </c>
      <c r="AF42" s="215">
        <v>25.6</v>
      </c>
      <c r="AG42" s="215">
        <v>25.6</v>
      </c>
      <c r="AH42" s="216">
        <v>25.6</v>
      </c>
      <c r="AI42" s="215">
        <v>25.6</v>
      </c>
      <c r="AJ42" s="215">
        <v>25.6</v>
      </c>
      <c r="AK42" s="215">
        <v>25.6</v>
      </c>
      <c r="AL42" s="216">
        <v>25.6</v>
      </c>
      <c r="AM42" s="215">
        <v>25.6</v>
      </c>
      <c r="AN42" s="215">
        <v>25.6</v>
      </c>
      <c r="AO42" s="215">
        <v>25.6</v>
      </c>
      <c r="AP42" s="216">
        <v>25.6</v>
      </c>
      <c r="AQ42" s="215">
        <v>25.6</v>
      </c>
      <c r="AR42" s="215">
        <v>25.6</v>
      </c>
      <c r="AS42" s="215">
        <v>25.6</v>
      </c>
      <c r="AT42" s="780">
        <v>25.6</v>
      </c>
      <c r="AU42" s="215">
        <v>25.6</v>
      </c>
      <c r="AV42" s="215">
        <v>25.6</v>
      </c>
      <c r="AW42" s="215">
        <v>25.6</v>
      </c>
      <c r="AX42" s="780">
        <v>25.6</v>
      </c>
      <c r="AY42" s="215">
        <v>25.6</v>
      </c>
      <c r="AZ42" s="215">
        <v>25.6</v>
      </c>
      <c r="BA42" s="215"/>
      <c r="BB42" s="780"/>
      <c r="BC42" s="839"/>
      <c r="BD42" s="959"/>
      <c r="BE42" s="842"/>
    </row>
    <row r="43" spans="1:57" s="7" customFormat="1" ht="20.149999999999999" customHeight="1">
      <c r="A43" s="27" t="s">
        <v>202</v>
      </c>
      <c r="B43" s="125" t="s">
        <v>203</v>
      </c>
      <c r="C43" s="41">
        <f>432.265</f>
        <v>432.26499999999999</v>
      </c>
      <c r="D43" s="24">
        <v>0</v>
      </c>
      <c r="E43" s="24">
        <v>0</v>
      </c>
      <c r="F43" s="226">
        <v>0</v>
      </c>
      <c r="G43" s="227">
        <v>0</v>
      </c>
      <c r="H43" s="227">
        <v>0</v>
      </c>
      <c r="I43" s="227">
        <v>0</v>
      </c>
      <c r="J43" s="227">
        <v>0</v>
      </c>
      <c r="K43" s="228">
        <v>0</v>
      </c>
      <c r="L43" s="227">
        <v>0</v>
      </c>
      <c r="M43" s="227">
        <v>0</v>
      </c>
      <c r="N43" s="226">
        <v>0</v>
      </c>
      <c r="O43" s="227">
        <v>0</v>
      </c>
      <c r="P43" s="227">
        <v>0</v>
      </c>
      <c r="Q43" s="227">
        <v>0</v>
      </c>
      <c r="R43" s="216">
        <v>0</v>
      </c>
      <c r="S43" s="217">
        <v>0</v>
      </c>
      <c r="T43" s="217">
        <v>0</v>
      </c>
      <c r="U43" s="217">
        <v>0</v>
      </c>
      <c r="V43" s="216">
        <v>0</v>
      </c>
      <c r="W43" s="217">
        <v>0</v>
      </c>
      <c r="X43" s="217">
        <v>0</v>
      </c>
      <c r="Y43" s="217">
        <v>0</v>
      </c>
      <c r="Z43" s="216">
        <v>0</v>
      </c>
      <c r="AA43" s="217">
        <v>0</v>
      </c>
      <c r="AB43" s="217">
        <v>0</v>
      </c>
      <c r="AC43" s="217">
        <v>0</v>
      </c>
      <c r="AD43" s="216">
        <v>0</v>
      </c>
      <c r="AE43" s="217">
        <v>0</v>
      </c>
      <c r="AF43" s="217">
        <v>0</v>
      </c>
      <c r="AG43" s="217">
        <v>0</v>
      </c>
      <c r="AH43" s="216">
        <v>0</v>
      </c>
      <c r="AI43" s="217">
        <v>0</v>
      </c>
      <c r="AJ43" s="217">
        <v>0</v>
      </c>
      <c r="AK43" s="217">
        <v>0</v>
      </c>
      <c r="AL43" s="216">
        <v>0</v>
      </c>
      <c r="AM43" s="217">
        <v>0</v>
      </c>
      <c r="AN43" s="217">
        <v>0</v>
      </c>
      <c r="AO43" s="217">
        <v>0</v>
      </c>
      <c r="AP43" s="216">
        <v>0</v>
      </c>
      <c r="AQ43" s="217">
        <v>0</v>
      </c>
      <c r="AR43" s="217">
        <v>0</v>
      </c>
      <c r="AS43" s="217">
        <v>0</v>
      </c>
      <c r="AT43" s="780">
        <v>0</v>
      </c>
      <c r="AU43" s="217">
        <v>0</v>
      </c>
      <c r="AV43" s="217">
        <v>0</v>
      </c>
      <c r="AW43" s="215">
        <v>0</v>
      </c>
      <c r="AX43" s="780">
        <v>0</v>
      </c>
      <c r="AY43" s="217" t="s">
        <v>150</v>
      </c>
      <c r="AZ43" s="217">
        <v>0</v>
      </c>
      <c r="BA43" s="215"/>
      <c r="BB43" s="780"/>
      <c r="BC43" s="839"/>
      <c r="BD43" s="959"/>
      <c r="BE43" s="842"/>
    </row>
    <row r="44" spans="1:57" s="7" customFormat="1" ht="20.149999999999999" customHeight="1">
      <c r="A44" s="27" t="s">
        <v>204</v>
      </c>
      <c r="B44" s="125" t="s">
        <v>205</v>
      </c>
      <c r="C44" s="41">
        <f>1305.277</f>
        <v>1305.277</v>
      </c>
      <c r="D44" s="24">
        <v>0</v>
      </c>
      <c r="E44" s="24">
        <v>0</v>
      </c>
      <c r="F44" s="226">
        <v>0</v>
      </c>
      <c r="G44" s="227">
        <v>0</v>
      </c>
      <c r="H44" s="227">
        <v>0</v>
      </c>
      <c r="I44" s="227">
        <v>0</v>
      </c>
      <c r="J44" s="227">
        <v>0</v>
      </c>
      <c r="K44" s="228">
        <v>0</v>
      </c>
      <c r="L44" s="227">
        <v>0</v>
      </c>
      <c r="M44" s="227">
        <v>0</v>
      </c>
      <c r="N44" s="226">
        <v>0</v>
      </c>
      <c r="O44" s="227">
        <v>0</v>
      </c>
      <c r="P44" s="227">
        <v>0</v>
      </c>
      <c r="Q44" s="227">
        <v>0</v>
      </c>
      <c r="R44" s="216">
        <v>0</v>
      </c>
      <c r="S44" s="217">
        <v>0</v>
      </c>
      <c r="T44" s="217">
        <v>0</v>
      </c>
      <c r="U44" s="217">
        <v>0</v>
      </c>
      <c r="V44" s="216">
        <v>0</v>
      </c>
      <c r="W44" s="217">
        <v>0</v>
      </c>
      <c r="X44" s="217">
        <v>0</v>
      </c>
      <c r="Y44" s="217">
        <v>0</v>
      </c>
      <c r="Z44" s="216">
        <v>0</v>
      </c>
      <c r="AA44" s="217">
        <v>0</v>
      </c>
      <c r="AB44" s="217">
        <v>0</v>
      </c>
      <c r="AC44" s="217">
        <v>0</v>
      </c>
      <c r="AD44" s="216">
        <v>0</v>
      </c>
      <c r="AE44" s="217">
        <v>0</v>
      </c>
      <c r="AF44" s="217">
        <v>0</v>
      </c>
      <c r="AG44" s="217">
        <v>0</v>
      </c>
      <c r="AH44" s="216">
        <v>0</v>
      </c>
      <c r="AI44" s="217">
        <v>0</v>
      </c>
      <c r="AJ44" s="217">
        <v>0</v>
      </c>
      <c r="AK44" s="217">
        <v>0</v>
      </c>
      <c r="AL44" s="216">
        <v>0</v>
      </c>
      <c r="AM44" s="217">
        <v>0</v>
      </c>
      <c r="AN44" s="217">
        <v>0</v>
      </c>
      <c r="AO44" s="217">
        <v>0</v>
      </c>
      <c r="AP44" s="216">
        <v>0</v>
      </c>
      <c r="AQ44" s="217">
        <v>0</v>
      </c>
      <c r="AR44" s="217">
        <v>0</v>
      </c>
      <c r="AS44" s="217">
        <v>0</v>
      </c>
      <c r="AT44" s="780">
        <v>0</v>
      </c>
      <c r="AU44" s="217">
        <v>0</v>
      </c>
      <c r="AV44" s="217">
        <v>0</v>
      </c>
      <c r="AW44" s="217">
        <v>0</v>
      </c>
      <c r="AX44" s="780">
        <v>0</v>
      </c>
      <c r="AY44" s="217" t="s">
        <v>150</v>
      </c>
      <c r="AZ44" s="217">
        <v>0</v>
      </c>
      <c r="BA44" s="217"/>
      <c r="BB44" s="780"/>
      <c r="BC44" s="839"/>
      <c r="BD44" s="959"/>
      <c r="BE44" s="842"/>
    </row>
    <row r="45" spans="1:57" s="7" customFormat="1" ht="20.149999999999999" customHeight="1">
      <c r="A45" s="27" t="s">
        <v>206</v>
      </c>
      <c r="B45" s="125" t="s">
        <v>207</v>
      </c>
      <c r="C45" s="24">
        <v>0</v>
      </c>
      <c r="D45" s="17">
        <f t="shared" ref="D45:K45" si="10">(1295103)*0.001</f>
        <v>1295.1030000000001</v>
      </c>
      <c r="E45" s="17">
        <f t="shared" si="10"/>
        <v>1295.1030000000001</v>
      </c>
      <c r="F45" s="229">
        <f t="shared" si="10"/>
        <v>1295.1030000000001</v>
      </c>
      <c r="G45" s="230">
        <f t="shared" si="10"/>
        <v>1295.1030000000001</v>
      </c>
      <c r="H45" s="230">
        <f t="shared" si="10"/>
        <v>1295.1030000000001</v>
      </c>
      <c r="I45" s="230">
        <f t="shared" si="10"/>
        <v>1295.1030000000001</v>
      </c>
      <c r="J45" s="229">
        <f t="shared" si="10"/>
        <v>1295.1030000000001</v>
      </c>
      <c r="K45" s="230">
        <f t="shared" si="10"/>
        <v>1295.1030000000001</v>
      </c>
      <c r="L45" s="231">
        <v>7237.5</v>
      </c>
      <c r="M45" s="231">
        <v>7237.5</v>
      </c>
      <c r="N45" s="232">
        <v>7174</v>
      </c>
      <c r="O45" s="233">
        <v>7237.4</v>
      </c>
      <c r="P45" s="233">
        <v>7174</v>
      </c>
      <c r="Q45" s="233">
        <v>7174</v>
      </c>
      <c r="R45" s="216">
        <v>7174</v>
      </c>
      <c r="S45" s="215">
        <v>7174</v>
      </c>
      <c r="T45" s="215">
        <v>7174</v>
      </c>
      <c r="U45" s="215">
        <v>7174</v>
      </c>
      <c r="V45" s="216">
        <v>7174</v>
      </c>
      <c r="W45" s="215">
        <v>7174</v>
      </c>
      <c r="X45" s="215">
        <v>7174</v>
      </c>
      <c r="Y45" s="215">
        <v>7174</v>
      </c>
      <c r="Z45" s="216">
        <v>7174</v>
      </c>
      <c r="AA45" s="215">
        <v>7174</v>
      </c>
      <c r="AB45" s="215">
        <v>7174</v>
      </c>
      <c r="AC45" s="215">
        <v>7174</v>
      </c>
      <c r="AD45" s="216">
        <v>7174</v>
      </c>
      <c r="AE45" s="215">
        <v>7174</v>
      </c>
      <c r="AF45" s="215">
        <v>7174</v>
      </c>
      <c r="AG45" s="215">
        <v>7174</v>
      </c>
      <c r="AH45" s="216">
        <v>7174</v>
      </c>
      <c r="AI45" s="215">
        <v>7174</v>
      </c>
      <c r="AJ45" s="215">
        <v>7174</v>
      </c>
      <c r="AK45" s="215">
        <v>7174</v>
      </c>
      <c r="AL45" s="216">
        <v>7174</v>
      </c>
      <c r="AM45" s="215">
        <v>7174</v>
      </c>
      <c r="AN45" s="215">
        <v>7174</v>
      </c>
      <c r="AO45" s="215">
        <v>7174</v>
      </c>
      <c r="AP45" s="216">
        <v>7174</v>
      </c>
      <c r="AQ45" s="215">
        <v>7174</v>
      </c>
      <c r="AR45" s="215">
        <v>7174</v>
      </c>
      <c r="AS45" s="215">
        <v>7174</v>
      </c>
      <c r="AT45" s="780">
        <v>7174</v>
      </c>
      <c r="AU45" s="215">
        <v>7174</v>
      </c>
      <c r="AV45" s="215">
        <v>7174</v>
      </c>
      <c r="AW45" s="215">
        <v>7174</v>
      </c>
      <c r="AX45" s="780">
        <v>7174</v>
      </c>
      <c r="AY45" s="215">
        <v>7174</v>
      </c>
      <c r="AZ45" s="215">
        <v>7174</v>
      </c>
      <c r="BA45" s="215"/>
      <c r="BB45" s="780"/>
      <c r="BC45" s="839"/>
      <c r="BD45" s="959"/>
      <c r="BE45" s="842"/>
    </row>
    <row r="46" spans="1:57" s="7" customFormat="1" ht="20.149999999999999" customHeight="1">
      <c r="A46" s="27" t="s">
        <v>208</v>
      </c>
      <c r="B46" s="125" t="s">
        <v>209</v>
      </c>
      <c r="C46" s="43">
        <f>-3.17</f>
        <v>-3.17</v>
      </c>
      <c r="D46" s="24">
        <v>0</v>
      </c>
      <c r="E46" s="24">
        <v>0</v>
      </c>
      <c r="F46" s="226">
        <v>0</v>
      </c>
      <c r="G46" s="227">
        <v>0</v>
      </c>
      <c r="H46" s="227">
        <v>0</v>
      </c>
      <c r="I46" s="227">
        <v>0</v>
      </c>
      <c r="J46" s="227">
        <v>0</v>
      </c>
      <c r="K46" s="228">
        <v>0</v>
      </c>
      <c r="L46" s="227">
        <v>0</v>
      </c>
      <c r="M46" s="227">
        <v>0</v>
      </c>
      <c r="N46" s="226">
        <v>0</v>
      </c>
      <c r="O46" s="227">
        <v>0</v>
      </c>
      <c r="P46" s="227">
        <v>0</v>
      </c>
      <c r="Q46" s="227">
        <v>0</v>
      </c>
      <c r="R46" s="216">
        <v>0</v>
      </c>
      <c r="S46" s="217">
        <v>0</v>
      </c>
      <c r="T46" s="217">
        <v>0</v>
      </c>
      <c r="U46" s="217">
        <v>0</v>
      </c>
      <c r="V46" s="216">
        <v>0</v>
      </c>
      <c r="W46" s="217">
        <v>0</v>
      </c>
      <c r="X46" s="217">
        <v>0</v>
      </c>
      <c r="Y46" s="217">
        <v>0</v>
      </c>
      <c r="Z46" s="216">
        <v>0</v>
      </c>
      <c r="AA46" s="217">
        <v>0</v>
      </c>
      <c r="AB46" s="217">
        <v>0</v>
      </c>
      <c r="AC46" s="217">
        <v>0</v>
      </c>
      <c r="AD46" s="216">
        <v>0</v>
      </c>
      <c r="AE46" s="217">
        <v>0</v>
      </c>
      <c r="AF46" s="217">
        <v>0</v>
      </c>
      <c r="AG46" s="217">
        <v>0</v>
      </c>
      <c r="AH46" s="216">
        <v>0</v>
      </c>
      <c r="AI46" s="217">
        <v>0</v>
      </c>
      <c r="AJ46" s="217">
        <v>0</v>
      </c>
      <c r="AK46" s="217">
        <v>0</v>
      </c>
      <c r="AL46" s="216">
        <v>0</v>
      </c>
      <c r="AM46" s="217">
        <v>0</v>
      </c>
      <c r="AN46" s="217">
        <v>0</v>
      </c>
      <c r="AO46" s="217">
        <v>0</v>
      </c>
      <c r="AP46" s="216">
        <v>0</v>
      </c>
      <c r="AQ46" s="217">
        <v>0</v>
      </c>
      <c r="AR46" s="217">
        <v>0</v>
      </c>
      <c r="AS46" s="217">
        <v>0</v>
      </c>
      <c r="AT46" s="780">
        <v>0</v>
      </c>
      <c r="AU46" s="217">
        <v>0</v>
      </c>
      <c r="AV46" s="217">
        <v>0</v>
      </c>
      <c r="AW46" s="217">
        <v>0</v>
      </c>
      <c r="AX46" s="780">
        <v>0</v>
      </c>
      <c r="AY46" s="217" t="s">
        <v>150</v>
      </c>
      <c r="AZ46" s="217">
        <v>0</v>
      </c>
      <c r="BA46" s="217"/>
      <c r="BB46" s="780"/>
      <c r="BC46" s="839"/>
      <c r="BD46" s="959"/>
      <c r="BE46" s="842"/>
    </row>
    <row r="47" spans="1:57" s="7" customFormat="1" ht="20.149999999999999" customHeight="1">
      <c r="A47" s="27" t="s">
        <v>210</v>
      </c>
      <c r="B47" s="125" t="s">
        <v>211</v>
      </c>
      <c r="C47" s="41">
        <f>2.396</f>
        <v>2.3959999999999999</v>
      </c>
      <c r="D47" s="24">
        <v>0</v>
      </c>
      <c r="E47" s="24">
        <v>0</v>
      </c>
      <c r="F47" s="226">
        <v>0</v>
      </c>
      <c r="G47" s="227">
        <v>0</v>
      </c>
      <c r="H47" s="227">
        <v>0</v>
      </c>
      <c r="I47" s="227">
        <v>0</v>
      </c>
      <c r="J47" s="227">
        <v>0</v>
      </c>
      <c r="K47" s="228">
        <v>0</v>
      </c>
      <c r="L47" s="227">
        <v>0</v>
      </c>
      <c r="M47" s="227">
        <v>0</v>
      </c>
      <c r="N47" s="226">
        <v>0</v>
      </c>
      <c r="O47" s="227">
        <v>0</v>
      </c>
      <c r="P47" s="227">
        <v>0</v>
      </c>
      <c r="Q47" s="227">
        <v>0</v>
      </c>
      <c r="R47" s="216">
        <v>0</v>
      </c>
      <c r="S47" s="217">
        <v>0</v>
      </c>
      <c r="T47" s="217">
        <v>0</v>
      </c>
      <c r="U47" s="217">
        <v>0</v>
      </c>
      <c r="V47" s="216">
        <v>0</v>
      </c>
      <c r="W47" s="217">
        <v>0</v>
      </c>
      <c r="X47" s="217">
        <v>0</v>
      </c>
      <c r="Y47" s="217">
        <v>0</v>
      </c>
      <c r="Z47" s="216">
        <v>0</v>
      </c>
      <c r="AA47" s="217">
        <v>0</v>
      </c>
      <c r="AB47" s="217">
        <v>0</v>
      </c>
      <c r="AC47" s="217">
        <v>0</v>
      </c>
      <c r="AD47" s="216">
        <v>0</v>
      </c>
      <c r="AE47" s="217">
        <v>0</v>
      </c>
      <c r="AF47" s="217">
        <v>0</v>
      </c>
      <c r="AG47" s="217">
        <v>0</v>
      </c>
      <c r="AH47" s="216">
        <v>0</v>
      </c>
      <c r="AI47" s="217">
        <v>0</v>
      </c>
      <c r="AJ47" s="217">
        <v>0</v>
      </c>
      <c r="AK47" s="217">
        <v>0</v>
      </c>
      <c r="AL47" s="216">
        <v>0</v>
      </c>
      <c r="AM47" s="217">
        <v>0</v>
      </c>
      <c r="AN47" s="217">
        <v>0</v>
      </c>
      <c r="AO47" s="217">
        <v>0</v>
      </c>
      <c r="AP47" s="216">
        <v>0</v>
      </c>
      <c r="AQ47" s="217">
        <v>0</v>
      </c>
      <c r="AR47" s="217">
        <v>0</v>
      </c>
      <c r="AS47" s="217">
        <v>0</v>
      </c>
      <c r="AT47" s="780">
        <v>0</v>
      </c>
      <c r="AU47" s="217">
        <v>0</v>
      </c>
      <c r="AV47" s="217">
        <v>0</v>
      </c>
      <c r="AW47" s="217">
        <v>0</v>
      </c>
      <c r="AX47" s="780">
        <v>0</v>
      </c>
      <c r="AY47" s="217" t="s">
        <v>150</v>
      </c>
      <c r="AZ47" s="217">
        <v>0</v>
      </c>
      <c r="BA47" s="217"/>
      <c r="BB47" s="780"/>
      <c r="BC47" s="839"/>
      <c r="BD47" s="959"/>
      <c r="BE47" s="842"/>
    </row>
    <row r="48" spans="1:57" s="7" customFormat="1" ht="20.149999999999999" customHeight="1">
      <c r="A48" s="27" t="s">
        <v>212</v>
      </c>
      <c r="B48" s="128" t="s">
        <v>213</v>
      </c>
      <c r="C48" s="41"/>
      <c r="D48" s="24"/>
      <c r="E48" s="24"/>
      <c r="F48" s="226"/>
      <c r="G48" s="227"/>
      <c r="H48" s="227"/>
      <c r="I48" s="227"/>
      <c r="J48" s="227"/>
      <c r="K48" s="228"/>
      <c r="L48" s="227"/>
      <c r="M48" s="227"/>
      <c r="N48" s="226"/>
      <c r="O48" s="227"/>
      <c r="P48" s="227"/>
      <c r="Q48" s="227"/>
      <c r="R48" s="216"/>
      <c r="S48" s="217"/>
      <c r="T48" s="217"/>
      <c r="U48" s="217"/>
      <c r="V48" s="216"/>
      <c r="W48" s="217"/>
      <c r="X48" s="217"/>
      <c r="Y48" s="217"/>
      <c r="Z48" s="216"/>
      <c r="AA48" s="217"/>
      <c r="AB48" s="217"/>
      <c r="AC48" s="217"/>
      <c r="AD48" s="216"/>
      <c r="AE48" s="217"/>
      <c r="AF48" s="217"/>
      <c r="AG48" s="217"/>
      <c r="AH48" s="216"/>
      <c r="AI48" s="217"/>
      <c r="AJ48" s="217">
        <v>17.100000000000001</v>
      </c>
      <c r="AK48" s="217">
        <v>17.100000000000001</v>
      </c>
      <c r="AL48" s="216">
        <v>21.2</v>
      </c>
      <c r="AM48" s="217">
        <v>21.2</v>
      </c>
      <c r="AN48" s="217">
        <v>21.3</v>
      </c>
      <c r="AO48" s="217">
        <v>21.4</v>
      </c>
      <c r="AP48" s="216">
        <v>32.1</v>
      </c>
      <c r="AQ48" s="217">
        <v>32.200000000000003</v>
      </c>
      <c r="AR48" s="217">
        <v>41.7</v>
      </c>
      <c r="AS48" s="217">
        <v>56.6</v>
      </c>
      <c r="AT48" s="780">
        <v>51.9</v>
      </c>
      <c r="AU48" s="217">
        <v>52</v>
      </c>
      <c r="AV48" s="217">
        <v>45.8</v>
      </c>
      <c r="AW48" s="217">
        <v>0</v>
      </c>
      <c r="AX48" s="780">
        <v>0</v>
      </c>
      <c r="AY48" s="217">
        <v>-0.1</v>
      </c>
      <c r="AZ48" s="217">
        <v>-0.1</v>
      </c>
      <c r="BA48" s="217"/>
      <c r="BB48" s="780"/>
      <c r="BC48" s="839"/>
      <c r="BD48" s="959"/>
      <c r="BE48" s="842"/>
    </row>
    <row r="49" spans="1:59" s="7" customFormat="1" ht="20.149999999999999" customHeight="1">
      <c r="A49" s="27" t="s">
        <v>214</v>
      </c>
      <c r="B49" s="125" t="s">
        <v>205</v>
      </c>
      <c r="C49" s="24">
        <v>0</v>
      </c>
      <c r="D49" s="41">
        <f>(1225)*0.001</f>
        <v>1.2250000000000001</v>
      </c>
      <c r="E49" s="43">
        <f>(-8191)*0.001</f>
        <v>-8.1910000000000007</v>
      </c>
      <c r="F49" s="257">
        <f>(-16327)*0.001</f>
        <v>-16.327000000000002</v>
      </c>
      <c r="G49" s="43">
        <f>(-17667)*0.001</f>
        <v>-17.667000000000002</v>
      </c>
      <c r="H49" s="43">
        <f>(-13285)*0.001</f>
        <v>-13.285</v>
      </c>
      <c r="I49" s="43">
        <f>(-11455)*0.001</f>
        <v>-11.455</v>
      </c>
      <c r="J49" s="257">
        <f>(-8964)*0.001</f>
        <v>-8.9640000000000004</v>
      </c>
      <c r="K49" s="228">
        <v>0</v>
      </c>
      <c r="L49" s="227">
        <v>0</v>
      </c>
      <c r="M49" s="236">
        <v>-9.1999999999999993</v>
      </c>
      <c r="N49" s="237">
        <v>-12.2</v>
      </c>
      <c r="O49" s="236">
        <v>-12.7</v>
      </c>
      <c r="P49" s="236">
        <v>-7.9</v>
      </c>
      <c r="Q49" s="236">
        <v>-8.1999999999999993</v>
      </c>
      <c r="R49" s="216">
        <v>-3.7</v>
      </c>
      <c r="S49" s="218">
        <v>-1.7</v>
      </c>
      <c r="T49" s="218">
        <v>0.1</v>
      </c>
      <c r="U49" s="218">
        <v>2.2000000000000002</v>
      </c>
      <c r="V49" s="216">
        <v>4.5</v>
      </c>
      <c r="W49" s="218">
        <v>3.8</v>
      </c>
      <c r="X49" s="218">
        <v>3.6</v>
      </c>
      <c r="Y49" s="218">
        <v>3.5</v>
      </c>
      <c r="Z49" s="216">
        <v>3.2</v>
      </c>
      <c r="AA49" s="218">
        <v>2.8</v>
      </c>
      <c r="AB49" s="218">
        <v>-204.3</v>
      </c>
      <c r="AC49" s="215">
        <v>-204.1</v>
      </c>
      <c r="AD49" s="216">
        <v>-162.5</v>
      </c>
      <c r="AE49" s="218">
        <v>-162.4</v>
      </c>
      <c r="AF49" s="218">
        <v>3.3</v>
      </c>
      <c r="AG49" s="215">
        <v>3.4</v>
      </c>
      <c r="AH49" s="216">
        <v>1.5</v>
      </c>
      <c r="AI49" s="218">
        <v>-4.8</v>
      </c>
      <c r="AJ49" s="218">
        <v>-7.2</v>
      </c>
      <c r="AK49" s="215">
        <v>-7.4</v>
      </c>
      <c r="AL49" s="216">
        <v>99.7</v>
      </c>
      <c r="AM49" s="218">
        <v>-4.3</v>
      </c>
      <c r="AN49" s="215">
        <v>-22.1</v>
      </c>
      <c r="AO49" s="215">
        <v>-126.3</v>
      </c>
      <c r="AP49" s="216">
        <v>2801.3</v>
      </c>
      <c r="AQ49" s="215">
        <v>2812.1</v>
      </c>
      <c r="AR49" s="755">
        <v>2827.1</v>
      </c>
      <c r="AS49" s="215">
        <v>2827.1</v>
      </c>
      <c r="AT49" s="780">
        <v>2815.9</v>
      </c>
      <c r="AU49" s="215">
        <v>2806</v>
      </c>
      <c r="AV49" s="543">
        <v>2795.5</v>
      </c>
      <c r="AW49" s="215">
        <v>2776.7</v>
      </c>
      <c r="AX49" s="780">
        <v>2752.8</v>
      </c>
      <c r="AY49" s="215">
        <v>2755.7</v>
      </c>
      <c r="AZ49" s="543">
        <v>2794.9</v>
      </c>
      <c r="BA49" s="215"/>
      <c r="BB49" s="780"/>
      <c r="BC49" s="839"/>
      <c r="BD49" s="959"/>
      <c r="BE49" s="842"/>
    </row>
    <row r="50" spans="1:59" s="7" customFormat="1" ht="20.149999999999999" customHeight="1">
      <c r="A50" s="27" t="s">
        <v>215</v>
      </c>
      <c r="B50" s="125" t="s">
        <v>216</v>
      </c>
      <c r="C50" s="41">
        <f>340.065</f>
        <v>340.065</v>
      </c>
      <c r="D50" s="41">
        <f>(882007)*0.001</f>
        <v>882.00700000000006</v>
      </c>
      <c r="E50" s="44">
        <f>(1054069)*0.001</f>
        <v>1054.069</v>
      </c>
      <c r="F50" s="238">
        <f>(1175693)*0.001</f>
        <v>1175.693</v>
      </c>
      <c r="G50" s="239">
        <f>(1270798)*0.001</f>
        <v>1270.798</v>
      </c>
      <c r="H50" s="239">
        <f>(1351543)*0.001</f>
        <v>1351.5430000000001</v>
      </c>
      <c r="I50" s="239">
        <f>(1527994)*0.001</f>
        <v>1527.9940000000001</v>
      </c>
      <c r="J50" s="238">
        <f>(1701138)*0.001</f>
        <v>1701.1380000000001</v>
      </c>
      <c r="K50" s="239">
        <f>(1799310)*0.001</f>
        <v>1799.31</v>
      </c>
      <c r="L50" s="231">
        <v>1828.6</v>
      </c>
      <c r="M50" s="231">
        <v>1876.8</v>
      </c>
      <c r="N50" s="240">
        <v>1890.8</v>
      </c>
      <c r="O50" s="231">
        <v>2061.6</v>
      </c>
      <c r="P50" s="231">
        <v>2366.1</v>
      </c>
      <c r="Q50" s="231">
        <v>2868.6</v>
      </c>
      <c r="R50" s="216">
        <v>3054.2</v>
      </c>
      <c r="S50" s="218">
        <v>3229.7</v>
      </c>
      <c r="T50" s="218">
        <v>3467.4</v>
      </c>
      <c r="U50" s="218">
        <v>3745.6</v>
      </c>
      <c r="V50" s="216">
        <v>4095.5</v>
      </c>
      <c r="W50" s="218">
        <v>4374.8999999999996</v>
      </c>
      <c r="X50" s="218">
        <v>4461.3999999999996</v>
      </c>
      <c r="Y50" s="218">
        <v>4704.3</v>
      </c>
      <c r="Z50" s="216">
        <v>4871.3999999999996</v>
      </c>
      <c r="AA50" s="218">
        <v>5668.6</v>
      </c>
      <c r="AB50" s="218">
        <v>5904.4</v>
      </c>
      <c r="AC50" s="215">
        <v>6130.5</v>
      </c>
      <c r="AD50" s="216">
        <v>6189.9</v>
      </c>
      <c r="AE50" s="218">
        <v>6481.8</v>
      </c>
      <c r="AF50" s="218">
        <v>6065.1</v>
      </c>
      <c r="AG50" s="215">
        <v>6296.4</v>
      </c>
      <c r="AH50" s="216">
        <v>6610.2</v>
      </c>
      <c r="AI50" s="218">
        <v>6792.6</v>
      </c>
      <c r="AJ50" s="218">
        <v>7081</v>
      </c>
      <c r="AK50" s="215">
        <v>6787.4</v>
      </c>
      <c r="AL50" s="216">
        <v>7112.3</v>
      </c>
      <c r="AM50" s="215">
        <v>7501.9</v>
      </c>
      <c r="AN50" s="215">
        <v>7273.7</v>
      </c>
      <c r="AO50" s="215">
        <v>10416.1</v>
      </c>
      <c r="AP50" s="216">
        <v>7823.6</v>
      </c>
      <c r="AQ50" s="215">
        <v>8038.5</v>
      </c>
      <c r="AR50" s="755">
        <v>7671</v>
      </c>
      <c r="AS50" s="770">
        <v>7899.7</v>
      </c>
      <c r="AT50" s="780">
        <v>8057.6</v>
      </c>
      <c r="AU50" s="215">
        <v>8122.1</v>
      </c>
      <c r="AV50" s="543">
        <v>8114.8</v>
      </c>
      <c r="AW50" s="215">
        <v>8233.6</v>
      </c>
      <c r="AX50" s="780">
        <v>8334.1</v>
      </c>
      <c r="AY50" s="215">
        <v>8514.2000000000007</v>
      </c>
      <c r="AZ50" s="543">
        <v>8660.6</v>
      </c>
      <c r="BA50" s="215"/>
      <c r="BB50" s="780"/>
      <c r="BC50" s="839"/>
      <c r="BD50" s="959"/>
      <c r="BE50" s="842"/>
    </row>
    <row r="51" spans="1:59" ht="20.149999999999999" customHeight="1" thickBot="1">
      <c r="A51" s="709" t="s">
        <v>217</v>
      </c>
      <c r="B51" s="128" t="s">
        <v>218</v>
      </c>
      <c r="C51" s="235"/>
      <c r="D51" s="235"/>
      <c r="E51" s="239"/>
      <c r="F51" s="238"/>
      <c r="G51" s="239"/>
      <c r="H51" s="239"/>
      <c r="I51" s="239"/>
      <c r="J51" s="238"/>
      <c r="K51" s="239"/>
      <c r="L51" s="231"/>
      <c r="M51" s="231"/>
      <c r="N51" s="240"/>
      <c r="O51" s="231"/>
      <c r="P51" s="231"/>
      <c r="Q51" s="231"/>
      <c r="R51" s="216"/>
      <c r="S51" s="218"/>
      <c r="T51" s="218"/>
      <c r="U51" s="218"/>
      <c r="V51" s="216"/>
      <c r="W51" s="218"/>
      <c r="X51" s="218"/>
      <c r="Y51" s="218"/>
      <c r="Z51" s="216"/>
      <c r="AA51" s="218"/>
      <c r="AB51" s="218"/>
      <c r="AC51" s="215"/>
      <c r="AD51" s="216"/>
      <c r="AE51" s="218"/>
      <c r="AF51" s="218"/>
      <c r="AG51" s="215"/>
      <c r="AH51" s="216"/>
      <c r="AI51" s="218"/>
      <c r="AJ51" s="218"/>
      <c r="AK51" s="215"/>
      <c r="AL51" s="216"/>
      <c r="AM51" s="215"/>
      <c r="AN51" s="215"/>
      <c r="AO51" s="215"/>
      <c r="AP51" s="216">
        <v>-2461</v>
      </c>
      <c r="AQ51" s="215">
        <v>-2461</v>
      </c>
      <c r="AR51" s="755">
        <v>-2854.7</v>
      </c>
      <c r="AS51" s="215">
        <v>-2854.7</v>
      </c>
      <c r="AT51" s="780">
        <v>-2854.7</v>
      </c>
      <c r="AU51" s="215">
        <v>-2854.7</v>
      </c>
      <c r="AV51" s="215">
        <v>-2854.7</v>
      </c>
      <c r="AW51" s="215">
        <v>-2854.7</v>
      </c>
      <c r="AX51" s="780">
        <v>-2854.7</v>
      </c>
      <c r="AY51" s="215">
        <v>-2854.7</v>
      </c>
      <c r="AZ51" s="215">
        <v>-2854.7</v>
      </c>
      <c r="BA51" s="215"/>
      <c r="BB51" s="780"/>
      <c r="BC51" s="839"/>
      <c r="BD51" s="959"/>
      <c r="BE51" s="842"/>
    </row>
    <row r="52" spans="1:59" s="224" customFormat="1" ht="25.25" customHeight="1" thickBot="1">
      <c r="A52" s="398" t="s">
        <v>219</v>
      </c>
      <c r="B52" s="398" t="s">
        <v>220</v>
      </c>
      <c r="C52" s="399">
        <f t="shared" ref="C52:AO52" si="11">SUM(C42:C50)</f>
        <v>2090.7669999999998</v>
      </c>
      <c r="D52" s="400">
        <f t="shared" si="11"/>
        <v>2192.2690000000002</v>
      </c>
      <c r="E52" s="400">
        <f t="shared" si="11"/>
        <v>2354.915</v>
      </c>
      <c r="F52" s="401">
        <f t="shared" si="11"/>
        <v>2468.4030000000002</v>
      </c>
      <c r="G52" s="400">
        <f t="shared" si="11"/>
        <v>2562.1680000000001</v>
      </c>
      <c r="H52" s="400">
        <f t="shared" si="11"/>
        <v>2647.2950000000001</v>
      </c>
      <c r="I52" s="400">
        <f t="shared" si="11"/>
        <v>2825.576</v>
      </c>
      <c r="J52" s="401">
        <f t="shared" si="11"/>
        <v>3001.2110000000002</v>
      </c>
      <c r="K52" s="399">
        <f t="shared" si="11"/>
        <v>3108.3469999999998</v>
      </c>
      <c r="L52" s="400">
        <f t="shared" si="11"/>
        <v>9091.7000000000007</v>
      </c>
      <c r="M52" s="400">
        <f t="shared" si="11"/>
        <v>9130.7000000000007</v>
      </c>
      <c r="N52" s="401">
        <f t="shared" si="11"/>
        <v>9078.2000000000007</v>
      </c>
      <c r="O52" s="399">
        <f t="shared" si="11"/>
        <v>9311.9</v>
      </c>
      <c r="P52" s="400">
        <f t="shared" si="11"/>
        <v>9557.8000000000011</v>
      </c>
      <c r="Q52" s="400">
        <f t="shared" si="11"/>
        <v>10060</v>
      </c>
      <c r="R52" s="401">
        <f t="shared" si="11"/>
        <v>10250.1</v>
      </c>
      <c r="S52" s="399">
        <f t="shared" si="11"/>
        <v>10427.6</v>
      </c>
      <c r="T52" s="400">
        <f t="shared" si="11"/>
        <v>10667.1</v>
      </c>
      <c r="U52" s="400">
        <f t="shared" si="11"/>
        <v>10947.4</v>
      </c>
      <c r="V52" s="401">
        <f t="shared" si="11"/>
        <v>11299.6</v>
      </c>
      <c r="W52" s="399">
        <f t="shared" si="11"/>
        <v>11578.3</v>
      </c>
      <c r="X52" s="400">
        <f t="shared" si="11"/>
        <v>11664.6</v>
      </c>
      <c r="Y52" s="400">
        <f t="shared" si="11"/>
        <v>11907.400000000001</v>
      </c>
      <c r="Z52" s="401">
        <f t="shared" si="11"/>
        <v>12074.2</v>
      </c>
      <c r="AA52" s="399">
        <f t="shared" si="11"/>
        <v>12871</v>
      </c>
      <c r="AB52" s="400">
        <f t="shared" si="11"/>
        <v>12899.7</v>
      </c>
      <c r="AC52" s="400">
        <f t="shared" si="11"/>
        <v>13126</v>
      </c>
      <c r="AD52" s="401">
        <f t="shared" si="11"/>
        <v>13227</v>
      </c>
      <c r="AE52" s="399">
        <f t="shared" si="11"/>
        <v>13519</v>
      </c>
      <c r="AF52" s="400">
        <f t="shared" si="11"/>
        <v>13268</v>
      </c>
      <c r="AG52" s="400">
        <f t="shared" si="11"/>
        <v>13499.4</v>
      </c>
      <c r="AH52" s="401">
        <f t="shared" si="11"/>
        <v>13811.3</v>
      </c>
      <c r="AI52" s="399">
        <f t="shared" si="11"/>
        <v>13987.400000000001</v>
      </c>
      <c r="AJ52" s="400">
        <f t="shared" si="11"/>
        <v>14290.5</v>
      </c>
      <c r="AK52" s="400">
        <f t="shared" si="11"/>
        <v>13996.7</v>
      </c>
      <c r="AL52" s="401">
        <f t="shared" si="11"/>
        <v>14432.8</v>
      </c>
      <c r="AM52" s="400">
        <f t="shared" si="11"/>
        <v>14718.4</v>
      </c>
      <c r="AN52" s="400">
        <f t="shared" si="11"/>
        <v>14472.5</v>
      </c>
      <c r="AO52" s="400">
        <f t="shared" si="11"/>
        <v>17510.8</v>
      </c>
      <c r="AP52" s="401">
        <f t="shared" ref="AP52:AZ52" si="12">SUM(AP42:AP51)</f>
        <v>15395.599999999999</v>
      </c>
      <c r="AQ52" s="400">
        <f t="shared" si="12"/>
        <v>15621.400000000001</v>
      </c>
      <c r="AR52" s="753">
        <f t="shared" si="12"/>
        <v>14884.7</v>
      </c>
      <c r="AS52" s="753">
        <f t="shared" si="12"/>
        <v>15128.3</v>
      </c>
      <c r="AT52" s="778">
        <f t="shared" si="12"/>
        <v>15270.3</v>
      </c>
      <c r="AU52" s="400">
        <f t="shared" si="12"/>
        <v>15325</v>
      </c>
      <c r="AV52" s="753">
        <f t="shared" si="12"/>
        <v>15301</v>
      </c>
      <c r="AW52" s="753">
        <f t="shared" si="12"/>
        <v>15355.2</v>
      </c>
      <c r="AX52" s="778">
        <f t="shared" si="12"/>
        <v>15431.8</v>
      </c>
      <c r="AY52" s="400">
        <f t="shared" si="12"/>
        <v>15614.7</v>
      </c>
      <c r="AZ52" s="753">
        <f t="shared" si="12"/>
        <v>15800.3</v>
      </c>
      <c r="BA52" s="753"/>
      <c r="BB52" s="778"/>
      <c r="BC52" s="839"/>
      <c r="BD52" s="959"/>
      <c r="BE52" s="842"/>
    </row>
    <row r="53" spans="1:59" s="7" customFormat="1" ht="20.149999999999999" customHeight="1" thickBot="1">
      <c r="A53" s="27" t="s">
        <v>221</v>
      </c>
      <c r="B53" s="126" t="s">
        <v>222</v>
      </c>
      <c r="C53" s="24">
        <v>0</v>
      </c>
      <c r="D53" s="24">
        <v>0</v>
      </c>
      <c r="E53" s="24">
        <v>0</v>
      </c>
      <c r="F53" s="226">
        <v>0</v>
      </c>
      <c r="G53" s="227">
        <v>0</v>
      </c>
      <c r="H53" s="227">
        <v>0</v>
      </c>
      <c r="I53" s="382">
        <f>2/1000</f>
        <v>2E-3</v>
      </c>
      <c r="J53" s="382">
        <f>2/1000</f>
        <v>2E-3</v>
      </c>
      <c r="K53" s="383">
        <f>2/1000</f>
        <v>2E-3</v>
      </c>
      <c r="L53" s="227">
        <v>0</v>
      </c>
      <c r="M53" s="227">
        <v>0</v>
      </c>
      <c r="N53" s="226">
        <v>0</v>
      </c>
      <c r="O53" s="227">
        <v>0</v>
      </c>
      <c r="P53" s="227">
        <v>0</v>
      </c>
      <c r="Q53" s="227">
        <v>0</v>
      </c>
      <c r="R53" s="67">
        <v>0</v>
      </c>
      <c r="S53" s="217">
        <v>-22.4</v>
      </c>
      <c r="T53" s="217">
        <v>94.5</v>
      </c>
      <c r="U53" s="217">
        <v>86.1</v>
      </c>
      <c r="V53" s="67">
        <v>78</v>
      </c>
      <c r="W53" s="217">
        <v>70</v>
      </c>
      <c r="X53" s="217">
        <v>60.5</v>
      </c>
      <c r="Y53" s="217">
        <v>52.5</v>
      </c>
      <c r="Z53" s="67">
        <v>42.6</v>
      </c>
      <c r="AA53" s="217">
        <v>34</v>
      </c>
      <c r="AB53" s="217">
        <v>554.29999999999995</v>
      </c>
      <c r="AC53" s="217">
        <v>555.29999999999995</v>
      </c>
      <c r="AD53" s="67">
        <v>648.20000000000005</v>
      </c>
      <c r="AE53" s="217">
        <v>653.6</v>
      </c>
      <c r="AF53" s="217">
        <v>650.5</v>
      </c>
      <c r="AG53" s="217">
        <v>655.7</v>
      </c>
      <c r="AH53" s="67">
        <v>653.20000000000005</v>
      </c>
      <c r="AI53" s="217">
        <v>652.6</v>
      </c>
      <c r="AJ53" s="217">
        <v>647.5</v>
      </c>
      <c r="AK53" s="217">
        <v>646.6</v>
      </c>
      <c r="AL53" s="67">
        <v>-6.6</v>
      </c>
      <c r="AM53" s="217">
        <v>647.9</v>
      </c>
      <c r="AN53" s="217">
        <v>489.9</v>
      </c>
      <c r="AO53" s="217">
        <v>-6.6</v>
      </c>
      <c r="AP53" s="67">
        <v>-11</v>
      </c>
      <c r="AQ53" s="217">
        <v>-14.5</v>
      </c>
      <c r="AR53" s="217">
        <v>540.1</v>
      </c>
      <c r="AS53" s="217">
        <v>526.20000000000005</v>
      </c>
      <c r="AT53" s="779">
        <v>540.5</v>
      </c>
      <c r="AU53" s="217">
        <v>544.70000000000005</v>
      </c>
      <c r="AV53" s="217">
        <v>552.29999999999995</v>
      </c>
      <c r="AW53" s="217">
        <v>408.3</v>
      </c>
      <c r="AX53" s="779">
        <v>873.4</v>
      </c>
      <c r="AY53" s="217">
        <v>873</v>
      </c>
      <c r="AZ53" s="217">
        <v>863.4</v>
      </c>
      <c r="BA53" s="217"/>
      <c r="BB53" s="779"/>
      <c r="BC53" s="839"/>
      <c r="BD53" s="959"/>
      <c r="BE53" s="842"/>
    </row>
    <row r="54" spans="1:59" s="224" customFormat="1" ht="25.25" customHeight="1" thickBot="1">
      <c r="A54" s="398" t="s">
        <v>223</v>
      </c>
      <c r="B54" s="398" t="s">
        <v>224</v>
      </c>
      <c r="C54" s="399">
        <f>C52+C53</f>
        <v>2090.7669999999998</v>
      </c>
      <c r="D54" s="400">
        <f>D52+D53</f>
        <v>2192.2690000000002</v>
      </c>
      <c r="E54" s="400">
        <f>E52+E53</f>
        <v>2354.915</v>
      </c>
      <c r="F54" s="401">
        <f>F52</f>
        <v>2468.4030000000002</v>
      </c>
      <c r="G54" s="400">
        <f>G52</f>
        <v>2562.1680000000001</v>
      </c>
      <c r="H54" s="400">
        <f>H52</f>
        <v>2647.2950000000001</v>
      </c>
      <c r="I54" s="400">
        <f>SUM(I52:I53)</f>
        <v>2825.578</v>
      </c>
      <c r="J54" s="401">
        <f t="shared" ref="J54:AP54" si="13">J52+J53</f>
        <v>3001.2130000000002</v>
      </c>
      <c r="K54" s="399">
        <f t="shared" si="13"/>
        <v>3108.3489999999997</v>
      </c>
      <c r="L54" s="400">
        <f t="shared" si="13"/>
        <v>9091.7000000000007</v>
      </c>
      <c r="M54" s="400">
        <f t="shared" si="13"/>
        <v>9130.7000000000007</v>
      </c>
      <c r="N54" s="401">
        <f t="shared" si="13"/>
        <v>9078.2000000000007</v>
      </c>
      <c r="O54" s="399">
        <f t="shared" si="13"/>
        <v>9311.9</v>
      </c>
      <c r="P54" s="400">
        <f t="shared" si="13"/>
        <v>9557.8000000000011</v>
      </c>
      <c r="Q54" s="400">
        <f t="shared" si="13"/>
        <v>10060</v>
      </c>
      <c r="R54" s="401">
        <f t="shared" si="13"/>
        <v>10250.1</v>
      </c>
      <c r="S54" s="399">
        <f t="shared" si="13"/>
        <v>10405.200000000001</v>
      </c>
      <c r="T54" s="400">
        <f t="shared" si="13"/>
        <v>10761.6</v>
      </c>
      <c r="U54" s="400">
        <f t="shared" si="13"/>
        <v>11033.5</v>
      </c>
      <c r="V54" s="401">
        <f t="shared" si="13"/>
        <v>11377.6</v>
      </c>
      <c r="W54" s="399">
        <f t="shared" si="13"/>
        <v>11648.3</v>
      </c>
      <c r="X54" s="400">
        <f t="shared" si="13"/>
        <v>11725.1</v>
      </c>
      <c r="Y54" s="400">
        <f t="shared" si="13"/>
        <v>11959.900000000001</v>
      </c>
      <c r="Z54" s="401">
        <f t="shared" si="13"/>
        <v>12116.800000000001</v>
      </c>
      <c r="AA54" s="399">
        <f t="shared" si="13"/>
        <v>12905</v>
      </c>
      <c r="AB54" s="400">
        <f t="shared" si="13"/>
        <v>13454</v>
      </c>
      <c r="AC54" s="400">
        <f t="shared" si="13"/>
        <v>13681.3</v>
      </c>
      <c r="AD54" s="401">
        <f t="shared" si="13"/>
        <v>13875.2</v>
      </c>
      <c r="AE54" s="399">
        <f t="shared" si="13"/>
        <v>14172.6</v>
      </c>
      <c r="AF54" s="400">
        <f t="shared" si="13"/>
        <v>13918.5</v>
      </c>
      <c r="AG54" s="400">
        <f t="shared" si="13"/>
        <v>14155.1</v>
      </c>
      <c r="AH54" s="401">
        <f t="shared" si="13"/>
        <v>14464.5</v>
      </c>
      <c r="AI54" s="399">
        <f t="shared" si="13"/>
        <v>14640.000000000002</v>
      </c>
      <c r="AJ54" s="400">
        <f t="shared" si="13"/>
        <v>14938</v>
      </c>
      <c r="AK54" s="400">
        <f t="shared" si="13"/>
        <v>14643.300000000001</v>
      </c>
      <c r="AL54" s="401">
        <f t="shared" si="13"/>
        <v>14426.199999999999</v>
      </c>
      <c r="AM54" s="399">
        <f t="shared" si="13"/>
        <v>15366.3</v>
      </c>
      <c r="AN54" s="400">
        <f t="shared" si="13"/>
        <v>14962.4</v>
      </c>
      <c r="AO54" s="400">
        <f t="shared" si="13"/>
        <v>17504.2</v>
      </c>
      <c r="AP54" s="401">
        <f t="shared" si="13"/>
        <v>15384.599999999999</v>
      </c>
      <c r="AQ54" s="399">
        <f t="shared" ref="AQ54:AT54" si="14">AQ52+AQ53</f>
        <v>15606.900000000001</v>
      </c>
      <c r="AR54" s="753">
        <f t="shared" si="14"/>
        <v>15424.800000000001</v>
      </c>
      <c r="AS54" s="400">
        <f t="shared" si="14"/>
        <v>15654.5</v>
      </c>
      <c r="AT54" s="778">
        <f t="shared" si="14"/>
        <v>15810.8</v>
      </c>
      <c r="AU54" s="399">
        <f t="shared" ref="AU54:AZ54" si="15">AU52+AU53</f>
        <v>15869.7</v>
      </c>
      <c r="AV54" s="753">
        <f t="shared" si="15"/>
        <v>15853.3</v>
      </c>
      <c r="AW54" s="400">
        <f t="shared" si="15"/>
        <v>15763.5</v>
      </c>
      <c r="AX54" s="778">
        <f t="shared" si="15"/>
        <v>16305.199999999999</v>
      </c>
      <c r="AY54" s="399">
        <f t="shared" si="15"/>
        <v>16487.7</v>
      </c>
      <c r="AZ54" s="753">
        <f t="shared" si="15"/>
        <v>16663.7</v>
      </c>
      <c r="BA54" s="400"/>
      <c r="BB54" s="778"/>
      <c r="BC54" s="839"/>
      <c r="BD54" s="959"/>
      <c r="BE54" s="842"/>
    </row>
    <row r="55" spans="1:59" s="7" customFormat="1" ht="20.149999999999999" customHeight="1">
      <c r="A55" s="27" t="s">
        <v>225</v>
      </c>
      <c r="B55" s="125" t="s">
        <v>226</v>
      </c>
      <c r="C55" s="30">
        <f>932.068</f>
        <v>932.06799999999998</v>
      </c>
      <c r="D55" s="30">
        <f>(889155)*0.001</f>
        <v>889.15499999999997</v>
      </c>
      <c r="E55" s="30">
        <f>(680371)*0.001</f>
        <v>680.37099999999998</v>
      </c>
      <c r="F55" s="241">
        <f>(592003)*0.001</f>
        <v>592.00300000000004</v>
      </c>
      <c r="G55" s="236">
        <f>(572819)*0.001</f>
        <v>572.81899999999996</v>
      </c>
      <c r="H55" s="236">
        <f>(422858)*0.001</f>
        <v>422.858</v>
      </c>
      <c r="I55" s="236">
        <f>(329798)*0.001</f>
        <v>329.798</v>
      </c>
      <c r="J55" s="236">
        <f>(239889)*0.001</f>
        <v>239.88900000000001</v>
      </c>
      <c r="K55" s="242">
        <f>(236277)*0.001</f>
        <v>236.27700000000002</v>
      </c>
      <c r="L55" s="230">
        <v>8446.1</v>
      </c>
      <c r="M55" s="230">
        <v>7976.3</v>
      </c>
      <c r="N55" s="232">
        <v>7683.5</v>
      </c>
      <c r="O55" s="231">
        <v>7357.9</v>
      </c>
      <c r="P55" s="231">
        <v>7034.6</v>
      </c>
      <c r="Q55" s="230">
        <v>5644.9</v>
      </c>
      <c r="R55" s="67">
        <v>5379.8</v>
      </c>
      <c r="S55" s="218">
        <v>9982.1</v>
      </c>
      <c r="T55" s="218">
        <v>9752</v>
      </c>
      <c r="U55" s="218">
        <v>9530.2999999999993</v>
      </c>
      <c r="V55" s="67">
        <v>9302.7000000000007</v>
      </c>
      <c r="W55" s="218">
        <v>9056</v>
      </c>
      <c r="X55" s="218">
        <v>8808.6</v>
      </c>
      <c r="Y55" s="218">
        <v>8561.9</v>
      </c>
      <c r="Z55" s="67">
        <v>9291.4</v>
      </c>
      <c r="AA55" s="218">
        <v>9474.7000000000007</v>
      </c>
      <c r="AB55" s="218">
        <v>9139.4</v>
      </c>
      <c r="AC55" s="215">
        <v>9043.7999999999993</v>
      </c>
      <c r="AD55" s="67">
        <v>8605.2999999999993</v>
      </c>
      <c r="AE55" s="218">
        <v>8339.7999999999993</v>
      </c>
      <c r="AF55" s="218">
        <v>8100.2</v>
      </c>
      <c r="AG55" s="218">
        <v>7861.1</v>
      </c>
      <c r="AH55" s="67">
        <v>8617</v>
      </c>
      <c r="AI55" s="218">
        <v>8453.4</v>
      </c>
      <c r="AJ55" s="218">
        <v>9258.2999999999993</v>
      </c>
      <c r="AK55" s="218">
        <v>9073.7000000000007</v>
      </c>
      <c r="AL55" s="67">
        <v>8887.7999999999993</v>
      </c>
      <c r="AM55" s="218">
        <v>8701.9</v>
      </c>
      <c r="AN55" s="218">
        <v>8514.2000000000007</v>
      </c>
      <c r="AO55" s="218">
        <v>8005.1</v>
      </c>
      <c r="AP55" s="67">
        <v>7671.8</v>
      </c>
      <c r="AQ55" s="218">
        <v>7346.2</v>
      </c>
      <c r="AR55" s="217">
        <v>7025.1</v>
      </c>
      <c r="AS55" s="218">
        <v>6840.6</v>
      </c>
      <c r="AT55" s="779">
        <v>6624.8</v>
      </c>
      <c r="AU55" s="218">
        <v>6469.7</v>
      </c>
      <c r="AV55" s="217">
        <v>8620.7000000000007</v>
      </c>
      <c r="AW55" s="215">
        <v>9072.7000000000007</v>
      </c>
      <c r="AX55" s="780">
        <v>9534.2999999999993</v>
      </c>
      <c r="AY55" s="218">
        <v>9429.7000000000007</v>
      </c>
      <c r="AZ55" s="217">
        <v>9328.7000000000007</v>
      </c>
      <c r="BA55" s="215"/>
      <c r="BB55" s="780"/>
      <c r="BC55" s="839"/>
      <c r="BD55" s="959"/>
      <c r="BE55" s="842"/>
      <c r="BG55" s="841"/>
    </row>
    <row r="56" spans="1:59" s="7" customFormat="1" ht="20.149999999999999" customHeight="1">
      <c r="A56" s="27" t="s">
        <v>227</v>
      </c>
      <c r="B56" s="125" t="s">
        <v>228</v>
      </c>
      <c r="C56" s="17">
        <f>1360.637</f>
        <v>1360.6369999999999</v>
      </c>
      <c r="D56" s="17">
        <f>(1369593)*0.001</f>
        <v>1369.5930000000001</v>
      </c>
      <c r="E56" s="17">
        <f>(1347224)*0.001</f>
        <v>1347.2239999999999</v>
      </c>
      <c r="F56" s="229">
        <f>(1316479)*0.001</f>
        <v>1316.479</v>
      </c>
      <c r="G56" s="230">
        <f>(1370119)*0.001</f>
        <v>1370.1190000000001</v>
      </c>
      <c r="H56" s="230">
        <f>(1395972)*0.001</f>
        <v>1395.972</v>
      </c>
      <c r="I56" s="230">
        <f>(1385314)*0.001</f>
        <v>1385.3140000000001</v>
      </c>
      <c r="J56" s="229">
        <f>(1340010)*0.001</f>
        <v>1340.01</v>
      </c>
      <c r="K56" s="230">
        <f>(1396071)*0.001</f>
        <v>1396.0710000000001</v>
      </c>
      <c r="L56" s="230">
        <v>4286.8999999999996</v>
      </c>
      <c r="M56" s="230">
        <v>4302.1000000000004</v>
      </c>
      <c r="N56" s="232">
        <v>4550.2</v>
      </c>
      <c r="O56" s="231">
        <v>4470</v>
      </c>
      <c r="P56" s="231">
        <v>4582.5</v>
      </c>
      <c r="Q56" s="230">
        <v>964.4</v>
      </c>
      <c r="R56" s="67">
        <v>975.3</v>
      </c>
      <c r="S56" s="218">
        <v>2252.6</v>
      </c>
      <c r="T56" s="218">
        <v>1795.1</v>
      </c>
      <c r="U56" s="218">
        <v>1805.1</v>
      </c>
      <c r="V56" s="67">
        <v>1835.7</v>
      </c>
      <c r="W56" s="218">
        <v>964.9</v>
      </c>
      <c r="X56" s="218">
        <v>975.3</v>
      </c>
      <c r="Y56" s="218">
        <v>965.2</v>
      </c>
      <c r="Z56" s="67">
        <v>975.7</v>
      </c>
      <c r="AA56" s="218">
        <v>965.2</v>
      </c>
      <c r="AB56" s="218">
        <v>975.5</v>
      </c>
      <c r="AC56" s="215">
        <v>965.6</v>
      </c>
      <c r="AD56" s="67">
        <v>976</v>
      </c>
      <c r="AE56" s="218">
        <v>965.5</v>
      </c>
      <c r="AF56" s="218">
        <v>968.9</v>
      </c>
      <c r="AG56" s="218">
        <v>977.7</v>
      </c>
      <c r="AH56" s="67">
        <v>969.2</v>
      </c>
      <c r="AI56" s="218">
        <v>1950.7</v>
      </c>
      <c r="AJ56" s="218">
        <v>1957.7</v>
      </c>
      <c r="AK56" s="218">
        <v>1958.8</v>
      </c>
      <c r="AL56" s="67">
        <v>1959.2</v>
      </c>
      <c r="AM56" s="218">
        <v>1959.8</v>
      </c>
      <c r="AN56" s="218">
        <v>1960.1</v>
      </c>
      <c r="AO56" s="218">
        <v>1960.6</v>
      </c>
      <c r="AP56" s="67">
        <v>1942.1</v>
      </c>
      <c r="AQ56" s="218">
        <v>1931.4</v>
      </c>
      <c r="AR56" s="217">
        <v>1905.2</v>
      </c>
      <c r="AS56" s="218">
        <v>1910.3</v>
      </c>
      <c r="AT56" s="779">
        <v>1900.4</v>
      </c>
      <c r="AU56" s="218">
        <v>2897</v>
      </c>
      <c r="AV56" s="217">
        <v>2960.9</v>
      </c>
      <c r="AW56" s="215">
        <v>3497.8</v>
      </c>
      <c r="AX56" s="780">
        <v>3955.4</v>
      </c>
      <c r="AY56" s="218">
        <v>3581.6</v>
      </c>
      <c r="AZ56" s="217">
        <v>3668</v>
      </c>
      <c r="BA56" s="215"/>
      <c r="BB56" s="780"/>
      <c r="BC56" s="839"/>
      <c r="BD56" s="959"/>
      <c r="BE56" s="842"/>
    </row>
    <row r="57" spans="1:59" s="7" customFormat="1" ht="20.149999999999999" customHeight="1">
      <c r="A57" s="110" t="s">
        <v>229</v>
      </c>
      <c r="B57" s="127" t="s">
        <v>230</v>
      </c>
      <c r="C57" s="30">
        <f>0.81</f>
        <v>0.81</v>
      </c>
      <c r="D57" s="30">
        <f>(741)*0.001</f>
        <v>0.74099999999999999</v>
      </c>
      <c r="E57" s="30">
        <f>(638)*0.001</f>
        <v>0.63800000000000001</v>
      </c>
      <c r="F57" s="241">
        <f>(551)*0.001</f>
        <v>0.55100000000000005</v>
      </c>
      <c r="G57" s="236">
        <f>(474)*0.001</f>
        <v>0.47400000000000003</v>
      </c>
      <c r="H57" s="236">
        <f>(424)*0.001</f>
        <v>0.42399999999999999</v>
      </c>
      <c r="I57" s="236">
        <f>(306)*0.001</f>
        <v>0.30599999999999999</v>
      </c>
      <c r="J57" s="236">
        <f>(227)*0.001</f>
        <v>0.22700000000000001</v>
      </c>
      <c r="K57" s="242">
        <f>(166)*0.001</f>
        <v>0.16600000000000001</v>
      </c>
      <c r="L57" s="233">
        <v>4.5</v>
      </c>
      <c r="M57" s="233">
        <v>7.9</v>
      </c>
      <c r="N57" s="240">
        <v>11.7</v>
      </c>
      <c r="O57" s="243">
        <v>13.4</v>
      </c>
      <c r="P57" s="243">
        <v>15.7</v>
      </c>
      <c r="Q57" s="233">
        <v>21.3</v>
      </c>
      <c r="R57" s="67">
        <v>20.9</v>
      </c>
      <c r="S57" s="215">
        <v>21.2</v>
      </c>
      <c r="T57" s="215">
        <v>23.3</v>
      </c>
      <c r="U57" s="215">
        <v>22.1</v>
      </c>
      <c r="V57" s="67">
        <v>20.9</v>
      </c>
      <c r="W57" s="215">
        <v>22.6</v>
      </c>
      <c r="X57" s="215">
        <v>21.4</v>
      </c>
      <c r="Y57" s="215">
        <v>19.399999999999999</v>
      </c>
      <c r="Z57" s="67">
        <v>18.600000000000001</v>
      </c>
      <c r="AA57" s="215">
        <v>17.3</v>
      </c>
      <c r="AB57" s="215">
        <v>14.6</v>
      </c>
      <c r="AC57" s="215">
        <v>15</v>
      </c>
      <c r="AD57" s="67">
        <v>15.8</v>
      </c>
      <c r="AE57" s="215">
        <v>1070</v>
      </c>
      <c r="AF57" s="215">
        <v>997.6</v>
      </c>
      <c r="AG57" s="218">
        <v>946.9</v>
      </c>
      <c r="AH57" s="67">
        <v>1023.8</v>
      </c>
      <c r="AI57" s="215">
        <v>986.2</v>
      </c>
      <c r="AJ57" s="215">
        <v>1021.2</v>
      </c>
      <c r="AK57" s="218">
        <v>1016.4</v>
      </c>
      <c r="AL57" s="67">
        <v>1140.5</v>
      </c>
      <c r="AM57" s="215">
        <v>537.4</v>
      </c>
      <c r="AN57" s="218">
        <v>504.2</v>
      </c>
      <c r="AO57" s="218">
        <v>495.3</v>
      </c>
      <c r="AP57" s="67">
        <v>497.5</v>
      </c>
      <c r="AQ57" s="215">
        <v>467.5</v>
      </c>
      <c r="AR57" s="217">
        <v>349.1</v>
      </c>
      <c r="AS57" s="218">
        <v>328.3</v>
      </c>
      <c r="AT57" s="779">
        <v>345.6</v>
      </c>
      <c r="AU57" s="215">
        <v>342.2</v>
      </c>
      <c r="AV57" s="217">
        <v>337.3</v>
      </c>
      <c r="AW57" s="215">
        <v>399</v>
      </c>
      <c r="AX57" s="780">
        <v>444.6</v>
      </c>
      <c r="AY57" s="215">
        <v>454.9</v>
      </c>
      <c r="AZ57" s="217">
        <v>473.5</v>
      </c>
      <c r="BA57" s="215"/>
      <c r="BB57" s="780"/>
      <c r="BC57" s="839"/>
      <c r="BD57" s="959"/>
      <c r="BE57" s="842"/>
    </row>
    <row r="58" spans="1:59" s="7" customFormat="1" ht="20.149999999999999" customHeight="1">
      <c r="A58" s="27" t="s">
        <v>231</v>
      </c>
      <c r="B58" s="125" t="s">
        <v>232</v>
      </c>
      <c r="C58" s="18" t="e">
        <f>0*($A$87)</f>
        <v>#VALUE!</v>
      </c>
      <c r="D58" s="18">
        <f>0</f>
        <v>0</v>
      </c>
      <c r="E58" s="18">
        <f>0</f>
        <v>0</v>
      </c>
      <c r="F58" s="244">
        <v>0</v>
      </c>
      <c r="G58" s="245">
        <v>0</v>
      </c>
      <c r="H58" s="245">
        <f>0</f>
        <v>0</v>
      </c>
      <c r="I58" s="245">
        <v>0</v>
      </c>
      <c r="J58" s="245">
        <v>0</v>
      </c>
      <c r="K58" s="246">
        <v>0</v>
      </c>
      <c r="L58" s="233">
        <v>835.8</v>
      </c>
      <c r="M58" s="233">
        <v>730.2</v>
      </c>
      <c r="N58" s="240">
        <v>750.3</v>
      </c>
      <c r="O58" s="243">
        <v>724.4</v>
      </c>
      <c r="P58" s="243">
        <v>747.9</v>
      </c>
      <c r="Q58" s="233">
        <v>645.1</v>
      </c>
      <c r="R58" s="67">
        <v>652.79999999999995</v>
      </c>
      <c r="S58" s="215">
        <v>658</v>
      </c>
      <c r="T58" s="215">
        <v>686.7</v>
      </c>
      <c r="U58" s="215">
        <v>555.79999999999995</v>
      </c>
      <c r="V58" s="67">
        <v>574</v>
      </c>
      <c r="W58" s="215">
        <v>551</v>
      </c>
      <c r="X58" s="215">
        <v>555.4</v>
      </c>
      <c r="Y58" s="215">
        <v>452.4</v>
      </c>
      <c r="Z58" s="67">
        <v>440.8</v>
      </c>
      <c r="AA58" s="215">
        <v>447.6</v>
      </c>
      <c r="AB58" s="215">
        <v>466.9</v>
      </c>
      <c r="AC58" s="215">
        <v>343.6</v>
      </c>
      <c r="AD58" s="67">
        <v>348.2</v>
      </c>
      <c r="AE58" s="215">
        <v>350.5</v>
      </c>
      <c r="AF58" s="215">
        <v>348.8</v>
      </c>
      <c r="AG58" s="218">
        <v>241.7</v>
      </c>
      <c r="AH58" s="67">
        <v>236.9</v>
      </c>
      <c r="AI58" s="215">
        <v>254.9</v>
      </c>
      <c r="AJ58" s="215">
        <v>251.7</v>
      </c>
      <c r="AK58" s="218">
        <v>133.30000000000001</v>
      </c>
      <c r="AL58" s="67">
        <v>136.69999999999999</v>
      </c>
      <c r="AM58" s="215">
        <v>139</v>
      </c>
      <c r="AN58" s="218">
        <v>135.69999999999999</v>
      </c>
      <c r="AO58" s="218">
        <v>0</v>
      </c>
      <c r="AP58" s="67">
        <v>0</v>
      </c>
      <c r="AQ58" s="215">
        <v>0</v>
      </c>
      <c r="AR58" s="217">
        <v>0</v>
      </c>
      <c r="AS58" s="217">
        <v>0</v>
      </c>
      <c r="AT58" s="779">
        <v>0</v>
      </c>
      <c r="AU58" s="215">
        <v>0</v>
      </c>
      <c r="AV58" s="217">
        <v>0</v>
      </c>
      <c r="AW58" s="215">
        <v>0</v>
      </c>
      <c r="AX58" s="779">
        <v>0</v>
      </c>
      <c r="AY58" s="215">
        <v>0</v>
      </c>
      <c r="AZ58" s="217">
        <v>0</v>
      </c>
      <c r="BA58" s="215"/>
      <c r="BB58" s="779"/>
      <c r="BC58" s="839"/>
      <c r="BD58" s="959"/>
      <c r="BE58" s="842"/>
    </row>
    <row r="59" spans="1:59" s="7" customFormat="1" ht="20.149999999999999" customHeight="1">
      <c r="A59" s="27" t="s">
        <v>233</v>
      </c>
      <c r="B59" s="125" t="s">
        <v>234</v>
      </c>
      <c r="C59" s="41">
        <f>87.307</f>
        <v>87.307000000000002</v>
      </c>
      <c r="D59" s="41">
        <f>(88480)*0.001</f>
        <v>88.48</v>
      </c>
      <c r="E59" s="41">
        <f>(97271)*0.001</f>
        <v>97.271000000000001</v>
      </c>
      <c r="F59" s="234">
        <f>(94258)*0.001</f>
        <v>94.257999999999996</v>
      </c>
      <c r="G59" s="235">
        <f>(93487)*0.001</f>
        <v>93.487000000000009</v>
      </c>
      <c r="H59" s="235">
        <f>(93150)*0.001</f>
        <v>93.15</v>
      </c>
      <c r="I59" s="235">
        <f>(98799)*0.001</f>
        <v>98.799000000000007</v>
      </c>
      <c r="J59" s="235">
        <f>(108066)*0.001</f>
        <v>108.066</v>
      </c>
      <c r="K59" s="247">
        <f>(95950)*0.001</f>
        <v>95.95</v>
      </c>
      <c r="L59" s="230">
        <v>1010.7</v>
      </c>
      <c r="M59" s="230">
        <v>1038.8</v>
      </c>
      <c r="N59" s="240">
        <v>908.7</v>
      </c>
      <c r="O59" s="243">
        <v>888.6</v>
      </c>
      <c r="P59" s="243">
        <v>821.1</v>
      </c>
      <c r="Q59" s="230">
        <v>770.4</v>
      </c>
      <c r="R59" s="67">
        <v>615.79999999999995</v>
      </c>
      <c r="S59" s="215">
        <v>694.4</v>
      </c>
      <c r="T59" s="215">
        <v>889.1</v>
      </c>
      <c r="U59" s="215">
        <v>923.2</v>
      </c>
      <c r="V59" s="67">
        <v>786.9</v>
      </c>
      <c r="W59" s="215">
        <v>812.3</v>
      </c>
      <c r="X59" s="215">
        <v>775.7</v>
      </c>
      <c r="Y59" s="215">
        <v>771.8</v>
      </c>
      <c r="Z59" s="67">
        <v>879.8</v>
      </c>
      <c r="AA59" s="215">
        <v>1034.8</v>
      </c>
      <c r="AB59" s="215">
        <v>1027.8</v>
      </c>
      <c r="AC59" s="215">
        <v>1006.2</v>
      </c>
      <c r="AD59" s="67">
        <v>1160.0999999999999</v>
      </c>
      <c r="AE59" s="215">
        <v>1132</v>
      </c>
      <c r="AF59" s="215">
        <v>1129.8</v>
      </c>
      <c r="AG59" s="218">
        <v>1086.0999999999999</v>
      </c>
      <c r="AH59" s="67">
        <v>1025.3</v>
      </c>
      <c r="AI59" s="215">
        <v>950.2</v>
      </c>
      <c r="AJ59" s="215">
        <v>973.2</v>
      </c>
      <c r="AK59" s="218">
        <v>984.4</v>
      </c>
      <c r="AL59" s="67">
        <v>902.1</v>
      </c>
      <c r="AM59" s="215">
        <v>857.5</v>
      </c>
      <c r="AN59" s="218">
        <v>885.5</v>
      </c>
      <c r="AO59" s="218">
        <v>853.2</v>
      </c>
      <c r="AP59" s="67">
        <v>794.9</v>
      </c>
      <c r="AQ59" s="215">
        <v>721</v>
      </c>
      <c r="AR59" s="217">
        <v>1044.2</v>
      </c>
      <c r="AS59" s="217">
        <v>1023.2</v>
      </c>
      <c r="AT59" s="779">
        <v>978.7</v>
      </c>
      <c r="AU59" s="215">
        <v>914.9</v>
      </c>
      <c r="AV59" s="217">
        <v>891.1</v>
      </c>
      <c r="AW59" s="215">
        <v>872.8</v>
      </c>
      <c r="AX59" s="780">
        <v>1035</v>
      </c>
      <c r="AY59" s="215">
        <v>1088.3</v>
      </c>
      <c r="AZ59" s="217">
        <v>1056.8</v>
      </c>
      <c r="BA59" s="215"/>
      <c r="BB59" s="780"/>
      <c r="BC59" s="839"/>
      <c r="BD59" s="959"/>
      <c r="BE59" s="842"/>
    </row>
    <row r="60" spans="1:59" s="7" customFormat="1" ht="20.149999999999999" customHeight="1">
      <c r="A60" s="27" t="s">
        <v>235</v>
      </c>
      <c r="B60" s="125" t="s">
        <v>236</v>
      </c>
      <c r="C60" s="24">
        <v>0</v>
      </c>
      <c r="D60" s="41">
        <f>(6285)*0.001</f>
        <v>6.2850000000000001</v>
      </c>
      <c r="E60" s="41">
        <f>(5716)*0.001</f>
        <v>5.7160000000000002</v>
      </c>
      <c r="F60" s="234">
        <f>(5181)*0.001</f>
        <v>5.181</v>
      </c>
      <c r="G60" s="235">
        <f>(4978)*0.001</f>
        <v>4.9779999999999998</v>
      </c>
      <c r="H60" s="235">
        <f>(4754)*0.001</f>
        <v>4.7540000000000004</v>
      </c>
      <c r="I60" s="235">
        <f>(4303)*0.001</f>
        <v>4.3029999999999999</v>
      </c>
      <c r="J60" s="235">
        <f>(4079)*0.001</f>
        <v>4.0789999999999997</v>
      </c>
      <c r="K60" s="247">
        <f>(3008)*0.001</f>
        <v>3.008</v>
      </c>
      <c r="L60" s="233">
        <v>2.8</v>
      </c>
      <c r="M60" s="233">
        <v>3.9</v>
      </c>
      <c r="N60" s="240">
        <v>4.7</v>
      </c>
      <c r="O60" s="243">
        <v>5.5</v>
      </c>
      <c r="P60" s="243">
        <v>5</v>
      </c>
      <c r="Q60" s="233">
        <v>4.5</v>
      </c>
      <c r="R60" s="67">
        <v>4.7</v>
      </c>
      <c r="S60" s="215">
        <v>22.1</v>
      </c>
      <c r="T60" s="215">
        <v>21</v>
      </c>
      <c r="U60" s="215">
        <v>20.100000000000001</v>
      </c>
      <c r="V60" s="67">
        <v>20.100000000000001</v>
      </c>
      <c r="W60" s="215">
        <v>4</v>
      </c>
      <c r="X60" s="215">
        <v>3.8</v>
      </c>
      <c r="Y60" s="215">
        <v>3.4</v>
      </c>
      <c r="Z60" s="67">
        <v>3.2</v>
      </c>
      <c r="AA60" s="215">
        <v>0</v>
      </c>
      <c r="AB60" s="215">
        <v>0</v>
      </c>
      <c r="AC60" s="215">
        <v>0</v>
      </c>
      <c r="AD60" s="67">
        <v>0</v>
      </c>
      <c r="AE60" s="215">
        <v>0</v>
      </c>
      <c r="AF60" s="215">
        <v>0</v>
      </c>
      <c r="AG60" s="218">
        <v>0</v>
      </c>
      <c r="AH60" s="67">
        <v>0</v>
      </c>
      <c r="AI60" s="215">
        <v>0</v>
      </c>
      <c r="AJ60" s="215">
        <v>0</v>
      </c>
      <c r="AK60" s="218">
        <v>0</v>
      </c>
      <c r="AL60" s="67">
        <v>0</v>
      </c>
      <c r="AM60" s="215">
        <v>0</v>
      </c>
      <c r="AN60" s="218">
        <v>0</v>
      </c>
      <c r="AO60" s="218">
        <v>0</v>
      </c>
      <c r="AP60" s="67">
        <v>0</v>
      </c>
      <c r="AQ60" s="215">
        <v>0</v>
      </c>
      <c r="AR60" s="217">
        <v>0</v>
      </c>
      <c r="AS60" s="217">
        <v>0</v>
      </c>
      <c r="AT60" s="779">
        <v>0</v>
      </c>
      <c r="AU60" s="215">
        <v>0</v>
      </c>
      <c r="AV60" s="217">
        <v>0</v>
      </c>
      <c r="AW60" s="215">
        <v>0</v>
      </c>
      <c r="AX60" s="779">
        <v>0</v>
      </c>
      <c r="AY60" s="215">
        <v>0</v>
      </c>
      <c r="AZ60" s="217">
        <v>0</v>
      </c>
      <c r="BA60" s="215"/>
      <c r="BB60" s="779"/>
      <c r="BC60" s="839"/>
      <c r="BD60" s="959"/>
      <c r="BE60" s="842"/>
    </row>
    <row r="61" spans="1:59" s="7" customFormat="1" ht="20.149999999999999" customHeight="1">
      <c r="A61" s="27" t="s">
        <v>237</v>
      </c>
      <c r="B61" s="125" t="s">
        <v>238</v>
      </c>
      <c r="C61" s="41">
        <f>13.779</f>
        <v>13.779</v>
      </c>
      <c r="D61" s="41">
        <f>(17835)*0.001</f>
        <v>17.835000000000001</v>
      </c>
      <c r="E61" s="41">
        <f>(19037)*0.001</f>
        <v>19.036999999999999</v>
      </c>
      <c r="F61" s="234">
        <f>(17690)*0.001</f>
        <v>17.690000000000001</v>
      </c>
      <c r="G61" s="235">
        <f>(17684)*0.001</f>
        <v>17.684000000000001</v>
      </c>
      <c r="H61" s="235">
        <f>(10154)*0.001</f>
        <v>10.154</v>
      </c>
      <c r="I61" s="235">
        <f>(8594)*0.001</f>
        <v>8.5939999999999994</v>
      </c>
      <c r="J61" s="235">
        <f>(7915)*0.001</f>
        <v>7.915</v>
      </c>
      <c r="K61" s="247">
        <f>(7828)*0.001</f>
        <v>7.8280000000000003</v>
      </c>
      <c r="L61" s="233">
        <v>158.19999999999999</v>
      </c>
      <c r="M61" s="233">
        <v>164.6</v>
      </c>
      <c r="N61" s="240">
        <v>184.2</v>
      </c>
      <c r="O61" s="243">
        <v>167.4</v>
      </c>
      <c r="P61" s="243">
        <v>132.4</v>
      </c>
      <c r="Q61" s="233">
        <v>133.1</v>
      </c>
      <c r="R61" s="67">
        <v>124.2</v>
      </c>
      <c r="S61" s="215">
        <v>157.30000000000001</v>
      </c>
      <c r="T61" s="215">
        <v>148.9</v>
      </c>
      <c r="U61" s="215">
        <v>148.19999999999999</v>
      </c>
      <c r="V61" s="67">
        <v>130.19999999999999</v>
      </c>
      <c r="W61" s="215">
        <v>128.1</v>
      </c>
      <c r="X61" s="215">
        <v>122</v>
      </c>
      <c r="Y61" s="215">
        <v>122.2</v>
      </c>
      <c r="Z61" s="67">
        <v>114.2</v>
      </c>
      <c r="AA61" s="215">
        <v>122.4</v>
      </c>
      <c r="AB61" s="215">
        <v>436.6</v>
      </c>
      <c r="AC61" s="215">
        <v>728.3</v>
      </c>
      <c r="AD61" s="67">
        <v>697.6</v>
      </c>
      <c r="AE61" s="215">
        <v>620.1</v>
      </c>
      <c r="AF61" s="215">
        <v>494</v>
      </c>
      <c r="AG61" s="218">
        <v>380.5</v>
      </c>
      <c r="AH61" s="67">
        <v>384.7</v>
      </c>
      <c r="AI61" s="215">
        <v>311.8</v>
      </c>
      <c r="AJ61" s="215">
        <v>334.5</v>
      </c>
      <c r="AK61" s="218">
        <v>346.2</v>
      </c>
      <c r="AL61" s="67">
        <v>388.1</v>
      </c>
      <c r="AM61" s="215">
        <v>104.9</v>
      </c>
      <c r="AN61" s="218">
        <v>95.4</v>
      </c>
      <c r="AO61" s="218">
        <v>345.8</v>
      </c>
      <c r="AP61" s="67">
        <v>319.8</v>
      </c>
      <c r="AQ61" s="215">
        <v>273.2</v>
      </c>
      <c r="AR61" s="217">
        <v>383.1</v>
      </c>
      <c r="AS61" s="218">
        <v>355.4</v>
      </c>
      <c r="AT61" s="779">
        <v>330.9</v>
      </c>
      <c r="AU61" s="215">
        <v>286.39999999999998</v>
      </c>
      <c r="AV61" s="217">
        <v>410.4</v>
      </c>
      <c r="AW61" s="215">
        <v>410.2</v>
      </c>
      <c r="AX61" s="780">
        <v>385.6</v>
      </c>
      <c r="AY61" s="215">
        <v>341.4</v>
      </c>
      <c r="AZ61" s="217">
        <v>297.2</v>
      </c>
      <c r="BA61" s="215"/>
      <c r="BB61" s="780"/>
      <c r="BC61" s="839"/>
      <c r="BD61" s="959"/>
      <c r="BE61" s="842"/>
    </row>
    <row r="62" spans="1:59" s="15" customFormat="1" ht="20.149999999999999" customHeight="1" thickBot="1">
      <c r="A62" s="29" t="s">
        <v>239</v>
      </c>
      <c r="B62" s="129" t="s">
        <v>240</v>
      </c>
      <c r="C62" s="18" t="e">
        <f>0*($A$87)</f>
        <v>#VALUE!</v>
      </c>
      <c r="D62" s="18">
        <f>0</f>
        <v>0</v>
      </c>
      <c r="E62" s="18">
        <f>0</f>
        <v>0</v>
      </c>
      <c r="F62" s="244">
        <v>0</v>
      </c>
      <c r="G62" s="245">
        <v>0</v>
      </c>
      <c r="H62" s="245">
        <f>0</f>
        <v>0</v>
      </c>
      <c r="I62" s="245">
        <v>0</v>
      </c>
      <c r="J62" s="248">
        <v>0.1</v>
      </c>
      <c r="K62" s="246">
        <v>0</v>
      </c>
      <c r="L62" s="245" t="e">
        <f>0*($A$87)</f>
        <v>#VALUE!</v>
      </c>
      <c r="M62" s="245" t="e">
        <f>0*($A$87)</f>
        <v>#VALUE!</v>
      </c>
      <c r="N62" s="248">
        <v>40.1</v>
      </c>
      <c r="O62" s="249">
        <v>22.6</v>
      </c>
      <c r="P62" s="249">
        <v>2</v>
      </c>
      <c r="Q62" s="250">
        <v>1.9</v>
      </c>
      <c r="R62" s="67">
        <v>0</v>
      </c>
      <c r="S62" s="195">
        <v>1.1000000000000001</v>
      </c>
      <c r="T62" s="195">
        <v>0.9</v>
      </c>
      <c r="U62" s="195">
        <v>0</v>
      </c>
      <c r="V62" s="67">
        <v>0</v>
      </c>
      <c r="W62" s="195">
        <v>1.5</v>
      </c>
      <c r="X62" s="195">
        <v>1.7</v>
      </c>
      <c r="Y62" s="195">
        <v>1.3</v>
      </c>
      <c r="Z62" s="67">
        <v>0</v>
      </c>
      <c r="AA62" s="195">
        <v>2.2000000000000002</v>
      </c>
      <c r="AB62" s="195">
        <v>0.5</v>
      </c>
      <c r="AC62" s="195">
        <v>205</v>
      </c>
      <c r="AD62" s="67">
        <v>165.2</v>
      </c>
      <c r="AE62" s="195">
        <v>167.2</v>
      </c>
      <c r="AF62" s="195">
        <v>5.4</v>
      </c>
      <c r="AG62" s="195">
        <v>6.7</v>
      </c>
      <c r="AH62" s="67">
        <v>3.2</v>
      </c>
      <c r="AI62" s="195">
        <v>30.2</v>
      </c>
      <c r="AJ62" s="195">
        <v>29.6</v>
      </c>
      <c r="AK62" s="195">
        <v>24.9</v>
      </c>
      <c r="AL62" s="219">
        <v>16.8</v>
      </c>
      <c r="AM62" s="195">
        <v>6.7</v>
      </c>
      <c r="AN62" s="195">
        <v>1.4</v>
      </c>
      <c r="AO62" s="195">
        <v>0</v>
      </c>
      <c r="AP62" s="219">
        <v>0</v>
      </c>
      <c r="AQ62" s="195">
        <v>0</v>
      </c>
      <c r="AR62" s="752">
        <v>0</v>
      </c>
      <c r="AS62" s="195">
        <v>0</v>
      </c>
      <c r="AT62" s="777">
        <v>4.3</v>
      </c>
      <c r="AU62" s="195">
        <v>11.9</v>
      </c>
      <c r="AV62" s="752">
        <v>154</v>
      </c>
      <c r="AW62" s="195">
        <v>20.3</v>
      </c>
      <c r="AX62" s="789">
        <v>24</v>
      </c>
      <c r="AY62" s="195">
        <v>12.1</v>
      </c>
      <c r="AZ62" s="752">
        <v>9.3000000000000007</v>
      </c>
      <c r="BA62" s="195"/>
      <c r="BB62" s="789"/>
      <c r="BC62" s="839"/>
      <c r="BD62" s="959"/>
      <c r="BE62" s="842"/>
    </row>
    <row r="63" spans="1:59" s="224" customFormat="1" ht="25.25" customHeight="1" thickBot="1">
      <c r="A63" s="398" t="s">
        <v>241</v>
      </c>
      <c r="B63" s="398" t="s">
        <v>242</v>
      </c>
      <c r="C63" s="399" t="e">
        <f t="shared" ref="C63" si="16">SUM(C55:C61)</f>
        <v>#VALUE!</v>
      </c>
      <c r="D63" s="400">
        <f t="shared" ref="D63" si="17">SUM(D55:D61)</f>
        <v>2372.0889999999999</v>
      </c>
      <c r="E63" s="400">
        <f t="shared" ref="E63" si="18">SUM(E55:E61)</f>
        <v>2150.2569999999996</v>
      </c>
      <c r="F63" s="401">
        <f t="shared" ref="F63:I63" si="19">SUM(F55:F61)</f>
        <v>2026.162</v>
      </c>
      <c r="G63" s="400">
        <f t="shared" si="19"/>
        <v>2059.5610000000001</v>
      </c>
      <c r="H63" s="400">
        <f t="shared" si="19"/>
        <v>1927.3119999999999</v>
      </c>
      <c r="I63" s="400">
        <f t="shared" si="19"/>
        <v>1827.1140000000003</v>
      </c>
      <c r="J63" s="401">
        <f t="shared" ref="J63:K63" si="20">SUM(J55:J61)</f>
        <v>1700.1859999999999</v>
      </c>
      <c r="K63" s="399">
        <f t="shared" si="20"/>
        <v>1739.3000000000002</v>
      </c>
      <c r="L63" s="400">
        <f t="shared" ref="L63:M63" si="21">SUM(L55:L61)</f>
        <v>14745</v>
      </c>
      <c r="M63" s="400">
        <f t="shared" si="21"/>
        <v>14223.800000000001</v>
      </c>
      <c r="N63" s="401">
        <f t="shared" ref="N63:S63" si="22">SUM(N55:N62)-N62</f>
        <v>14093.300000000003</v>
      </c>
      <c r="O63" s="399">
        <f t="shared" si="22"/>
        <v>13627.199999999999</v>
      </c>
      <c r="P63" s="400">
        <f t="shared" si="22"/>
        <v>13339.2</v>
      </c>
      <c r="Q63" s="400">
        <f t="shared" si="22"/>
        <v>8183.7</v>
      </c>
      <c r="R63" s="401">
        <f t="shared" si="22"/>
        <v>7773.5</v>
      </c>
      <c r="S63" s="399">
        <f t="shared" si="22"/>
        <v>13787.7</v>
      </c>
      <c r="T63" s="400">
        <f t="shared" ref="T63:U63" si="23">SUM(T55:T62)-T62</f>
        <v>13316.1</v>
      </c>
      <c r="U63" s="400">
        <f t="shared" si="23"/>
        <v>13004.800000000001</v>
      </c>
      <c r="V63" s="401">
        <f t="shared" ref="V63" si="24">SUM(V55:V62)-V62</f>
        <v>12670.500000000002</v>
      </c>
      <c r="W63" s="399">
        <f t="shared" ref="W63:Z63" si="25">SUM(W55:W62)-W62</f>
        <v>11538.9</v>
      </c>
      <c r="X63" s="400">
        <f t="shared" si="25"/>
        <v>11262.199999999999</v>
      </c>
      <c r="Y63" s="400">
        <f t="shared" si="25"/>
        <v>10896.3</v>
      </c>
      <c r="Z63" s="401">
        <f t="shared" si="25"/>
        <v>11723.7</v>
      </c>
      <c r="AA63" s="399">
        <f t="shared" ref="AA63:AE63" si="26">SUM(AA55:AA62)-AA62</f>
        <v>12062</v>
      </c>
      <c r="AB63" s="400">
        <f t="shared" si="26"/>
        <v>12060.8</v>
      </c>
      <c r="AC63" s="400">
        <f t="shared" si="26"/>
        <v>12102.5</v>
      </c>
      <c r="AD63" s="401">
        <f t="shared" si="26"/>
        <v>11803</v>
      </c>
      <c r="AE63" s="399">
        <f t="shared" si="26"/>
        <v>12477.9</v>
      </c>
      <c r="AF63" s="400">
        <f t="shared" ref="AF63:AI63" si="27">SUM(AF55:AF62)-AF62</f>
        <v>12039.3</v>
      </c>
      <c r="AG63" s="400">
        <f t="shared" si="27"/>
        <v>11494.000000000002</v>
      </c>
      <c r="AH63" s="401">
        <f t="shared" si="27"/>
        <v>12256.9</v>
      </c>
      <c r="AI63" s="399">
        <f t="shared" si="27"/>
        <v>12907.2</v>
      </c>
      <c r="AJ63" s="400">
        <f t="shared" ref="AJ63:AM63" si="28">SUM(AJ55:AJ62)-AJ62</f>
        <v>13796.600000000002</v>
      </c>
      <c r="AK63" s="400">
        <f t="shared" si="28"/>
        <v>13512.8</v>
      </c>
      <c r="AL63" s="401">
        <f t="shared" si="28"/>
        <v>13414.400000000001</v>
      </c>
      <c r="AM63" s="399">
        <f t="shared" si="28"/>
        <v>12300.499999999998</v>
      </c>
      <c r="AN63" s="400">
        <f t="shared" ref="AN63:AQ63" si="29">SUM(AN55:AN62)-AN62</f>
        <v>12095.100000000002</v>
      </c>
      <c r="AO63" s="400">
        <f t="shared" si="29"/>
        <v>11660</v>
      </c>
      <c r="AP63" s="401">
        <f t="shared" si="29"/>
        <v>11226.099999999999</v>
      </c>
      <c r="AQ63" s="399">
        <f t="shared" si="29"/>
        <v>10739.300000000001</v>
      </c>
      <c r="AR63" s="753">
        <f t="shared" ref="AR63:AU63" si="30">SUM(AR55:AR62)-AR62</f>
        <v>10706.700000000003</v>
      </c>
      <c r="AS63" s="400">
        <f t="shared" si="30"/>
        <v>10457.799999999999</v>
      </c>
      <c r="AT63" s="401">
        <f t="shared" si="30"/>
        <v>10180.400000000001</v>
      </c>
      <c r="AU63" s="399">
        <f t="shared" si="30"/>
        <v>10910.2</v>
      </c>
      <c r="AV63" s="753">
        <f t="shared" ref="AV63:AZ63" si="31">SUM(AV55:AV62)-AV62</f>
        <v>13220.4</v>
      </c>
      <c r="AW63" s="753">
        <f t="shared" si="31"/>
        <v>14252.5</v>
      </c>
      <c r="AX63" s="401">
        <f t="shared" si="31"/>
        <v>15354.9</v>
      </c>
      <c r="AY63" s="399">
        <f t="shared" si="31"/>
        <v>14895.9</v>
      </c>
      <c r="AZ63" s="753">
        <f t="shared" si="31"/>
        <v>14824.2</v>
      </c>
      <c r="BA63" s="753"/>
      <c r="BB63" s="401"/>
      <c r="BC63" s="839"/>
      <c r="BD63" s="959"/>
      <c r="BE63" s="842"/>
    </row>
    <row r="64" spans="1:59" s="7" customFormat="1" ht="20.149999999999999" customHeight="1">
      <c r="A64" s="27" t="s">
        <v>225</v>
      </c>
      <c r="B64" s="125" t="s">
        <v>226</v>
      </c>
      <c r="C64" s="41">
        <f>250.363</f>
        <v>250.363</v>
      </c>
      <c r="D64" s="41">
        <f>(265796)*0.001</f>
        <v>265.79599999999999</v>
      </c>
      <c r="E64" s="41">
        <f>(238676)*0.001</f>
        <v>238.67600000000002</v>
      </c>
      <c r="F64" s="234">
        <f>(275608)*0.001</f>
        <v>275.608</v>
      </c>
      <c r="G64" s="235">
        <f>(250329)*0.001</f>
        <v>250.32900000000001</v>
      </c>
      <c r="H64" s="235">
        <f>(263389)*0.001</f>
        <v>263.38900000000001</v>
      </c>
      <c r="I64" s="235">
        <f>(214673)*0.001</f>
        <v>214.673</v>
      </c>
      <c r="J64" s="235">
        <f>(245994)*0.001</f>
        <v>245.994</v>
      </c>
      <c r="K64" s="247">
        <f>(240921)*0.001</f>
        <v>240.92099999999999</v>
      </c>
      <c r="L64" s="230">
        <v>1094.3</v>
      </c>
      <c r="M64" s="230">
        <v>1365.1</v>
      </c>
      <c r="N64" s="232">
        <v>1322.6</v>
      </c>
      <c r="O64" s="231">
        <v>1543.9</v>
      </c>
      <c r="P64" s="231">
        <v>1169.9000000000001</v>
      </c>
      <c r="Q64" s="230">
        <v>963.7</v>
      </c>
      <c r="R64" s="67">
        <v>1230.9000000000001</v>
      </c>
      <c r="S64" s="218">
        <v>1593</v>
      </c>
      <c r="T64" s="218">
        <v>1251.3</v>
      </c>
      <c r="U64" s="218">
        <v>1269.4000000000001</v>
      </c>
      <c r="V64" s="67">
        <v>1270</v>
      </c>
      <c r="W64" s="218">
        <v>1286.8</v>
      </c>
      <c r="X64" s="218">
        <v>1805.9</v>
      </c>
      <c r="Y64" s="218">
        <v>1824.8</v>
      </c>
      <c r="Z64" s="67">
        <v>1341.9</v>
      </c>
      <c r="AA64" s="218">
        <v>552.9</v>
      </c>
      <c r="AB64" s="218">
        <v>1074.7</v>
      </c>
      <c r="AC64" s="215">
        <v>1368.9</v>
      </c>
      <c r="AD64" s="67">
        <v>1611.3</v>
      </c>
      <c r="AE64" s="218">
        <v>1298.2</v>
      </c>
      <c r="AF64" s="218">
        <v>1279</v>
      </c>
      <c r="AG64" s="218">
        <v>1748.5</v>
      </c>
      <c r="AH64" s="67">
        <v>1892.5</v>
      </c>
      <c r="AI64" s="218">
        <v>1241.5999999999999</v>
      </c>
      <c r="AJ64" s="218">
        <v>364.6</v>
      </c>
      <c r="AK64" s="218">
        <v>557.5</v>
      </c>
      <c r="AL64" s="67">
        <v>753</v>
      </c>
      <c r="AM64" s="218">
        <v>947.4</v>
      </c>
      <c r="AN64" s="218">
        <v>1053.4000000000001</v>
      </c>
      <c r="AO64" s="218">
        <v>1924.5</v>
      </c>
      <c r="AP64" s="67">
        <v>1072.7</v>
      </c>
      <c r="AQ64" s="218">
        <v>1219.0999999999999</v>
      </c>
      <c r="AR64" s="217">
        <v>1357.2</v>
      </c>
      <c r="AS64" s="218">
        <v>1367.2</v>
      </c>
      <c r="AT64" s="67">
        <v>1512.6</v>
      </c>
      <c r="AU64" s="218">
        <v>2376.3000000000002</v>
      </c>
      <c r="AV64" s="217">
        <v>1836</v>
      </c>
      <c r="AW64" s="215">
        <v>2552.3000000000002</v>
      </c>
      <c r="AX64" s="780">
        <v>1069.7</v>
      </c>
      <c r="AY64" s="218">
        <v>1190.8</v>
      </c>
      <c r="AZ64" s="217">
        <v>1349.1</v>
      </c>
      <c r="BA64" s="215"/>
      <c r="BB64" s="780"/>
      <c r="BC64" s="839"/>
      <c r="BD64" s="959"/>
      <c r="BE64" s="842"/>
    </row>
    <row r="65" spans="1:60" s="7" customFormat="1" ht="20.149999999999999" customHeight="1">
      <c r="A65" s="27" t="s">
        <v>227</v>
      </c>
      <c r="B65" s="125" t="s">
        <v>228</v>
      </c>
      <c r="C65" s="41">
        <f>100.836</f>
        <v>100.836</v>
      </c>
      <c r="D65" s="41">
        <f>(101342)*0.001</f>
        <v>101.342</v>
      </c>
      <c r="E65" s="41">
        <f>(99687)*0.001</f>
        <v>99.686999999999998</v>
      </c>
      <c r="F65" s="234">
        <f>(97256)*0.001</f>
        <v>97.256</v>
      </c>
      <c r="G65" s="235">
        <f>(101219)*0.001</f>
        <v>101.21900000000001</v>
      </c>
      <c r="H65" s="235">
        <f>(102957)*0.001</f>
        <v>102.95700000000001</v>
      </c>
      <c r="I65" s="235">
        <f>(102171)*0.001</f>
        <v>102.17100000000001</v>
      </c>
      <c r="J65" s="235">
        <f>(98659)*0.001</f>
        <v>98.659000000000006</v>
      </c>
      <c r="K65" s="247">
        <f>(101071)*0.001</f>
        <v>101.071</v>
      </c>
      <c r="L65" s="233">
        <v>431.9</v>
      </c>
      <c r="M65" s="233">
        <v>439.1</v>
      </c>
      <c r="N65" s="240">
        <v>464.4</v>
      </c>
      <c r="O65" s="243">
        <v>462.5</v>
      </c>
      <c r="P65" s="243">
        <v>479.4</v>
      </c>
      <c r="Q65" s="233">
        <v>4607.5</v>
      </c>
      <c r="R65" s="67">
        <v>4776.7</v>
      </c>
      <c r="S65" s="215">
        <v>41.5</v>
      </c>
      <c r="T65" s="215">
        <v>42.3</v>
      </c>
      <c r="U65" s="215">
        <v>41.9</v>
      </c>
      <c r="V65" s="67">
        <v>42.4</v>
      </c>
      <c r="W65" s="215">
        <v>981.4</v>
      </c>
      <c r="X65" s="215">
        <v>42.5</v>
      </c>
      <c r="Y65" s="215">
        <v>42.1</v>
      </c>
      <c r="Z65" s="67">
        <v>42.5</v>
      </c>
      <c r="AA65" s="215">
        <v>41.9</v>
      </c>
      <c r="AB65" s="215">
        <v>42.4</v>
      </c>
      <c r="AC65" s="215">
        <v>41.8</v>
      </c>
      <c r="AD65" s="67">
        <v>42.3</v>
      </c>
      <c r="AE65" s="215">
        <v>41.9</v>
      </c>
      <c r="AF65" s="215">
        <v>34.799999999999997</v>
      </c>
      <c r="AG65" s="218">
        <v>35.1</v>
      </c>
      <c r="AH65" s="67">
        <v>34.799999999999997</v>
      </c>
      <c r="AI65" s="215">
        <v>63.1</v>
      </c>
      <c r="AJ65" s="215">
        <v>48.9</v>
      </c>
      <c r="AK65" s="218">
        <v>41.1</v>
      </c>
      <c r="AL65" s="67">
        <v>38.700000000000003</v>
      </c>
      <c r="AM65" s="215">
        <v>38.6</v>
      </c>
      <c r="AN65" s="218">
        <v>38.6</v>
      </c>
      <c r="AO65" s="218">
        <v>39.200000000000003</v>
      </c>
      <c r="AP65" s="67">
        <v>66.400000000000006</v>
      </c>
      <c r="AQ65" s="215">
        <v>103.8</v>
      </c>
      <c r="AR65" s="217">
        <v>149</v>
      </c>
      <c r="AS65" s="218">
        <v>159.9</v>
      </c>
      <c r="AT65" s="67">
        <v>176</v>
      </c>
      <c r="AU65" s="215">
        <v>318</v>
      </c>
      <c r="AV65" s="217">
        <v>323.39999999999998</v>
      </c>
      <c r="AW65" s="215">
        <v>366.8</v>
      </c>
      <c r="AX65" s="780">
        <v>393.7</v>
      </c>
      <c r="AY65" s="215">
        <v>358.2</v>
      </c>
      <c r="AZ65" s="217">
        <v>366.3</v>
      </c>
      <c r="BA65" s="215"/>
      <c r="BB65" s="780"/>
      <c r="BC65" s="839"/>
      <c r="BD65" s="959"/>
      <c r="BE65" s="842"/>
    </row>
    <row r="66" spans="1:60" s="7" customFormat="1" ht="20.149999999999999" customHeight="1">
      <c r="A66" s="27" t="s">
        <v>243</v>
      </c>
      <c r="B66" s="127" t="s">
        <v>230</v>
      </c>
      <c r="C66" s="41">
        <f>0.237</f>
        <v>0.23699999999999999</v>
      </c>
      <c r="D66" s="41">
        <f>(243)*0.001</f>
        <v>0.24299999999999999</v>
      </c>
      <c r="E66" s="41">
        <f>(234)*0.001</f>
        <v>0.23400000000000001</v>
      </c>
      <c r="F66" s="234">
        <f>(233)*0.001</f>
        <v>0.23300000000000001</v>
      </c>
      <c r="G66" s="235">
        <f>(238)*0.001</f>
        <v>0.23800000000000002</v>
      </c>
      <c r="H66" s="235">
        <f>(247)*0.001</f>
        <v>0.247</v>
      </c>
      <c r="I66" s="235">
        <f>(240)*0.001</f>
        <v>0.24</v>
      </c>
      <c r="J66" s="235">
        <f>(236)*0.001</f>
        <v>0.23600000000000002</v>
      </c>
      <c r="K66" s="247">
        <f>(237)*0.001</f>
        <v>0.23700000000000002</v>
      </c>
      <c r="L66" s="233">
        <v>5.3</v>
      </c>
      <c r="M66" s="233">
        <v>5.8</v>
      </c>
      <c r="N66" s="240">
        <v>6.8</v>
      </c>
      <c r="O66" s="243">
        <v>2.7</v>
      </c>
      <c r="P66" s="243">
        <v>3.7</v>
      </c>
      <c r="Q66" s="233">
        <v>4.3</v>
      </c>
      <c r="R66" s="67">
        <v>4.3</v>
      </c>
      <c r="S66" s="215">
        <v>4.5</v>
      </c>
      <c r="T66" s="215">
        <v>4.9000000000000004</v>
      </c>
      <c r="U66" s="215">
        <v>4.9000000000000004</v>
      </c>
      <c r="V66" s="67">
        <v>5</v>
      </c>
      <c r="W66" s="215">
        <v>5.2</v>
      </c>
      <c r="X66" s="215">
        <v>7.6</v>
      </c>
      <c r="Y66" s="215">
        <v>7</v>
      </c>
      <c r="Z66" s="67">
        <v>9.6999999999999993</v>
      </c>
      <c r="AA66" s="215">
        <v>10.4</v>
      </c>
      <c r="AB66" s="215">
        <v>9.6999999999999993</v>
      </c>
      <c r="AC66" s="215">
        <v>10.7</v>
      </c>
      <c r="AD66" s="67">
        <v>8.1999999999999993</v>
      </c>
      <c r="AE66" s="215">
        <v>411.5</v>
      </c>
      <c r="AF66" s="215">
        <v>411.1</v>
      </c>
      <c r="AG66" s="218">
        <v>411.4</v>
      </c>
      <c r="AH66" s="67">
        <v>413.5</v>
      </c>
      <c r="AI66" s="215">
        <v>430.3</v>
      </c>
      <c r="AJ66" s="215">
        <v>418.8</v>
      </c>
      <c r="AK66" s="218">
        <v>420</v>
      </c>
      <c r="AL66" s="67">
        <v>432.5</v>
      </c>
      <c r="AM66" s="215">
        <v>198.7</v>
      </c>
      <c r="AN66" s="218">
        <v>201.5</v>
      </c>
      <c r="AO66" s="218">
        <v>196.8</v>
      </c>
      <c r="AP66" s="67">
        <v>201.1</v>
      </c>
      <c r="AQ66" s="215">
        <v>197.9</v>
      </c>
      <c r="AR66" s="217">
        <v>186.7</v>
      </c>
      <c r="AS66" s="218">
        <v>190.2</v>
      </c>
      <c r="AT66" s="67">
        <v>178.6</v>
      </c>
      <c r="AU66" s="215">
        <v>180.6</v>
      </c>
      <c r="AV66" s="217">
        <v>172.7</v>
      </c>
      <c r="AW66" s="215">
        <v>165.8</v>
      </c>
      <c r="AX66" s="780">
        <v>166.2</v>
      </c>
      <c r="AY66" s="215">
        <v>184.4</v>
      </c>
      <c r="AZ66" s="217">
        <v>184.6</v>
      </c>
      <c r="BA66" s="215"/>
      <c r="BB66" s="780"/>
      <c r="BC66" s="839"/>
      <c r="BD66" s="959"/>
      <c r="BE66" s="842"/>
    </row>
    <row r="67" spans="1:60" s="7" customFormat="1" ht="20.149999999999999" customHeight="1">
      <c r="A67" s="27" t="s">
        <v>231</v>
      </c>
      <c r="B67" s="125" t="s">
        <v>232</v>
      </c>
      <c r="C67" s="19">
        <v>0</v>
      </c>
      <c r="D67" s="19">
        <v>0</v>
      </c>
      <c r="E67" s="19">
        <v>0</v>
      </c>
      <c r="F67" s="251">
        <v>0</v>
      </c>
      <c r="G67" s="252">
        <v>0</v>
      </c>
      <c r="H67" s="252">
        <v>0</v>
      </c>
      <c r="I67" s="252">
        <v>0</v>
      </c>
      <c r="J67" s="252">
        <v>0</v>
      </c>
      <c r="K67" s="253">
        <v>0</v>
      </c>
      <c r="L67" s="233">
        <v>115.8</v>
      </c>
      <c r="M67" s="233">
        <v>113.9</v>
      </c>
      <c r="N67" s="240">
        <v>117.1</v>
      </c>
      <c r="O67" s="243">
        <v>113</v>
      </c>
      <c r="P67" s="243">
        <v>116.7</v>
      </c>
      <c r="Q67" s="233">
        <v>115.6</v>
      </c>
      <c r="R67" s="67">
        <v>117</v>
      </c>
      <c r="S67" s="215">
        <v>118</v>
      </c>
      <c r="T67" s="215">
        <v>123.1</v>
      </c>
      <c r="U67" s="215">
        <v>117.7</v>
      </c>
      <c r="V67" s="67">
        <v>121.5</v>
      </c>
      <c r="W67" s="215">
        <v>116.6</v>
      </c>
      <c r="X67" s="215">
        <v>117.6</v>
      </c>
      <c r="Y67" s="215">
        <v>117.6</v>
      </c>
      <c r="Z67" s="67">
        <v>114.5</v>
      </c>
      <c r="AA67" s="215">
        <v>116.3</v>
      </c>
      <c r="AB67" s="215">
        <v>121.3</v>
      </c>
      <c r="AC67" s="215">
        <v>116.6</v>
      </c>
      <c r="AD67" s="67">
        <v>118.1</v>
      </c>
      <c r="AE67" s="215">
        <v>118.9</v>
      </c>
      <c r="AF67" s="215">
        <v>118.3</v>
      </c>
      <c r="AG67" s="218">
        <v>119.3</v>
      </c>
      <c r="AH67" s="67">
        <v>116.9</v>
      </c>
      <c r="AI67" s="215">
        <v>125.8</v>
      </c>
      <c r="AJ67" s="215">
        <v>124.2</v>
      </c>
      <c r="AK67" s="218">
        <v>123.5</v>
      </c>
      <c r="AL67" s="67">
        <v>126.7</v>
      </c>
      <c r="AM67" s="215">
        <v>128.80000000000001</v>
      </c>
      <c r="AN67" s="218">
        <v>125.8</v>
      </c>
      <c r="AO67" s="218">
        <v>140</v>
      </c>
      <c r="AP67" s="67">
        <v>139.9</v>
      </c>
      <c r="AQ67" s="215">
        <v>142.4</v>
      </c>
      <c r="AR67" s="217">
        <v>144.19999999999999</v>
      </c>
      <c r="AS67" s="218">
        <v>0</v>
      </c>
      <c r="AT67" s="67">
        <v>0</v>
      </c>
      <c r="AU67" s="215">
        <v>0</v>
      </c>
      <c r="AV67" s="217" t="s">
        <v>150</v>
      </c>
      <c r="AW67" s="215">
        <v>0</v>
      </c>
      <c r="AX67" s="67">
        <v>0</v>
      </c>
      <c r="AY67" s="215">
        <v>0</v>
      </c>
      <c r="AZ67" s="217">
        <v>0</v>
      </c>
      <c r="BA67" s="215"/>
      <c r="BB67" s="67"/>
      <c r="BC67" s="839"/>
      <c r="BD67" s="959"/>
      <c r="BE67" s="842"/>
    </row>
    <row r="68" spans="1:60" s="7" customFormat="1" ht="20.149999999999999" customHeight="1">
      <c r="A68" s="27" t="s">
        <v>244</v>
      </c>
      <c r="B68" s="125" t="s">
        <v>245</v>
      </c>
      <c r="C68" s="19"/>
      <c r="D68" s="19"/>
      <c r="E68" s="19"/>
      <c r="F68" s="251"/>
      <c r="G68" s="252"/>
      <c r="H68" s="252"/>
      <c r="I68" s="252"/>
      <c r="J68" s="252"/>
      <c r="K68" s="253"/>
      <c r="L68" s="233"/>
      <c r="M68" s="233"/>
      <c r="N68" s="240"/>
      <c r="O68" s="243"/>
      <c r="P68" s="243"/>
      <c r="Q68" s="233"/>
      <c r="R68" s="67"/>
      <c r="S68" s="215"/>
      <c r="T68" s="215"/>
      <c r="U68" s="215"/>
      <c r="V68" s="67"/>
      <c r="W68" s="215"/>
      <c r="X68" s="215"/>
      <c r="Y68" s="215"/>
      <c r="Z68" s="67"/>
      <c r="AA68" s="218">
        <v>359</v>
      </c>
      <c r="AB68" s="215">
        <v>649.1</v>
      </c>
      <c r="AC68" s="215">
        <v>643.5</v>
      </c>
      <c r="AD68" s="67">
        <v>705.2</v>
      </c>
      <c r="AE68" s="218">
        <v>722.6</v>
      </c>
      <c r="AF68" s="215">
        <v>712.2</v>
      </c>
      <c r="AG68" s="218">
        <v>729.6</v>
      </c>
      <c r="AH68" s="67">
        <v>713.1</v>
      </c>
      <c r="AI68" s="218">
        <v>725.1</v>
      </c>
      <c r="AJ68" s="215">
        <v>686.4</v>
      </c>
      <c r="AK68" s="218">
        <v>671.7</v>
      </c>
      <c r="AL68" s="67">
        <v>675.6</v>
      </c>
      <c r="AM68" s="218">
        <v>663.1</v>
      </c>
      <c r="AN68" s="218">
        <v>646.70000000000005</v>
      </c>
      <c r="AO68" s="218">
        <v>668.3</v>
      </c>
      <c r="AP68" s="67">
        <v>650.79999999999995</v>
      </c>
      <c r="AQ68" s="218">
        <v>637.5</v>
      </c>
      <c r="AR68" s="217">
        <v>631.79999999999995</v>
      </c>
      <c r="AS68" s="218">
        <v>632.70000000000005</v>
      </c>
      <c r="AT68" s="67">
        <v>606.79999999999995</v>
      </c>
      <c r="AU68" s="218">
        <v>628.9</v>
      </c>
      <c r="AV68" s="217">
        <v>629.9</v>
      </c>
      <c r="AW68" s="217">
        <v>706.9</v>
      </c>
      <c r="AX68" s="780">
        <v>682.2</v>
      </c>
      <c r="AY68" s="218">
        <v>719.9</v>
      </c>
      <c r="AZ68" s="217">
        <v>752.2</v>
      </c>
      <c r="BA68" s="217"/>
      <c r="BB68" s="780"/>
      <c r="BC68" s="839"/>
      <c r="BD68" s="959"/>
      <c r="BE68" s="842"/>
    </row>
    <row r="69" spans="1:60" s="7" customFormat="1" ht="20.149999999999999" customHeight="1">
      <c r="A69" s="27" t="s">
        <v>246</v>
      </c>
      <c r="B69" s="125" t="s">
        <v>247</v>
      </c>
      <c r="C69" s="41">
        <f>435.427</f>
        <v>435.42700000000002</v>
      </c>
      <c r="D69" s="41">
        <f>(436188)*0.001</f>
        <v>436.18799999999999</v>
      </c>
      <c r="E69" s="41">
        <f>(441676)*0.001</f>
        <v>441.67599999999999</v>
      </c>
      <c r="F69" s="234">
        <f>(472094)*0.001</f>
        <v>472.09399999999999</v>
      </c>
      <c r="G69" s="235">
        <f>(432897)*0.001</f>
        <v>432.89699999999999</v>
      </c>
      <c r="H69" s="235">
        <f>(428004)*0.001</f>
        <v>428.00400000000002</v>
      </c>
      <c r="I69" s="235">
        <f>(390829)*0.001</f>
        <v>390.82900000000001</v>
      </c>
      <c r="J69" s="235">
        <f>(413210)*0.001</f>
        <v>413.21000000000004</v>
      </c>
      <c r="K69" s="247">
        <f>(418100)*0.001</f>
        <v>418.1</v>
      </c>
      <c r="L69" s="230">
        <v>1618.8</v>
      </c>
      <c r="M69" s="230">
        <v>1505.3</v>
      </c>
      <c r="N69" s="232">
        <v>1523</v>
      </c>
      <c r="O69" s="231">
        <v>1333.5</v>
      </c>
      <c r="P69" s="231">
        <v>1670.4</v>
      </c>
      <c r="Q69" s="230">
        <v>1431.5</v>
      </c>
      <c r="R69" s="67">
        <v>1485.4</v>
      </c>
      <c r="S69" s="218">
        <v>1711.4</v>
      </c>
      <c r="T69" s="218">
        <v>1365.9</v>
      </c>
      <c r="U69" s="218">
        <v>1338.1</v>
      </c>
      <c r="V69" s="67">
        <v>1569.5</v>
      </c>
      <c r="W69" s="218">
        <v>1337.9</v>
      </c>
      <c r="X69" s="218">
        <v>1694.4</v>
      </c>
      <c r="Y69" s="218">
        <v>1397.9</v>
      </c>
      <c r="Z69" s="67">
        <v>1727.3</v>
      </c>
      <c r="AA69" s="215">
        <v>1430.8</v>
      </c>
      <c r="AB69" s="218">
        <v>2254.9</v>
      </c>
      <c r="AC69" s="215">
        <v>2302.6999999999998</v>
      </c>
      <c r="AD69" s="67">
        <v>2382.4</v>
      </c>
      <c r="AE69" s="215">
        <v>2029.1</v>
      </c>
      <c r="AF69" s="218">
        <v>2691.7</v>
      </c>
      <c r="AG69" s="218">
        <v>2392.3000000000002</v>
      </c>
      <c r="AH69" s="67">
        <v>2420.8000000000002</v>
      </c>
      <c r="AI69" s="215">
        <v>2190</v>
      </c>
      <c r="AJ69" s="218">
        <v>2119.1999999999998</v>
      </c>
      <c r="AK69" s="218">
        <v>2744</v>
      </c>
      <c r="AL69" s="67">
        <v>2155.3000000000002</v>
      </c>
      <c r="AM69" s="215">
        <v>1855.9</v>
      </c>
      <c r="AN69" s="218">
        <v>1742.5</v>
      </c>
      <c r="AO69" s="218">
        <v>2368.1</v>
      </c>
      <c r="AP69" s="67">
        <v>2531.1999999999998</v>
      </c>
      <c r="AQ69" s="215">
        <v>2241.3000000000002</v>
      </c>
      <c r="AR69" s="217">
        <v>2461.3000000000002</v>
      </c>
      <c r="AS69" s="217">
        <v>2455.1999999999998</v>
      </c>
      <c r="AT69" s="67">
        <v>3767.1</v>
      </c>
      <c r="AU69" s="215">
        <v>2445.5</v>
      </c>
      <c r="AV69" s="217">
        <v>2642.2</v>
      </c>
      <c r="AW69" s="217">
        <v>2904.4</v>
      </c>
      <c r="AX69" s="780">
        <v>3172.6</v>
      </c>
      <c r="AY69" s="215">
        <v>2703.7</v>
      </c>
      <c r="AZ69" s="217">
        <v>2605</v>
      </c>
      <c r="BA69" s="217"/>
      <c r="BB69" s="780"/>
      <c r="BC69" s="839"/>
      <c r="BD69" s="959"/>
      <c r="BE69" s="842"/>
      <c r="BG69" s="841"/>
    </row>
    <row r="70" spans="1:60" s="15" customFormat="1" ht="20.149999999999999" customHeight="1">
      <c r="A70" s="29" t="s">
        <v>239</v>
      </c>
      <c r="B70" s="129" t="s">
        <v>240</v>
      </c>
      <c r="C70" s="23">
        <v>0</v>
      </c>
      <c r="D70" s="23">
        <v>0</v>
      </c>
      <c r="E70" s="23">
        <v>0</v>
      </c>
      <c r="F70" s="213">
        <v>0</v>
      </c>
      <c r="G70" s="66">
        <v>0</v>
      </c>
      <c r="H70" s="66">
        <v>0</v>
      </c>
      <c r="I70" s="66">
        <v>0</v>
      </c>
      <c r="J70" s="248">
        <v>12</v>
      </c>
      <c r="K70" s="254">
        <v>0</v>
      </c>
      <c r="L70" s="66">
        <v>0</v>
      </c>
      <c r="M70" s="66">
        <v>0</v>
      </c>
      <c r="N70" s="248">
        <v>87</v>
      </c>
      <c r="O70" s="249">
        <v>99.7</v>
      </c>
      <c r="P70" s="249">
        <v>79</v>
      </c>
      <c r="Q70" s="255">
        <v>57.1</v>
      </c>
      <c r="R70" s="219">
        <v>72.900000000000006</v>
      </c>
      <c r="S70" s="195">
        <v>25.8</v>
      </c>
      <c r="T70" s="195">
        <v>3.5</v>
      </c>
      <c r="U70" s="195">
        <v>1.8</v>
      </c>
      <c r="V70" s="219">
        <v>0</v>
      </c>
      <c r="W70" s="195">
        <v>1.5</v>
      </c>
      <c r="X70" s="195">
        <v>0.6</v>
      </c>
      <c r="Y70" s="195">
        <v>0.5</v>
      </c>
      <c r="Z70" s="219">
        <v>3.6</v>
      </c>
      <c r="AA70" s="195">
        <v>2.8</v>
      </c>
      <c r="AB70" s="195">
        <v>4.2</v>
      </c>
      <c r="AC70" s="195">
        <v>5.5</v>
      </c>
      <c r="AD70" s="219">
        <v>8.8000000000000007</v>
      </c>
      <c r="AE70" s="195">
        <v>9.1</v>
      </c>
      <c r="AF70" s="195">
        <v>9</v>
      </c>
      <c r="AG70" s="196">
        <v>7.5</v>
      </c>
      <c r="AH70" s="219">
        <v>8.3000000000000007</v>
      </c>
      <c r="AI70" s="195">
        <v>37.799999999999997</v>
      </c>
      <c r="AJ70" s="195">
        <v>51.1</v>
      </c>
      <c r="AK70" s="196">
        <v>45.1</v>
      </c>
      <c r="AL70" s="219">
        <v>39.200000000000003</v>
      </c>
      <c r="AM70" s="195">
        <v>31.3</v>
      </c>
      <c r="AN70" s="196">
        <v>24.4</v>
      </c>
      <c r="AO70" s="196">
        <v>14.2</v>
      </c>
      <c r="AP70" s="219">
        <v>0</v>
      </c>
      <c r="AQ70" s="195">
        <v>0</v>
      </c>
      <c r="AR70" s="756">
        <v>0</v>
      </c>
      <c r="AS70" s="196">
        <v>0</v>
      </c>
      <c r="AT70" s="777">
        <v>2.1</v>
      </c>
      <c r="AU70" s="195">
        <v>0.5</v>
      </c>
      <c r="AV70" s="756">
        <v>9.6</v>
      </c>
      <c r="AW70" s="756">
        <v>28.6</v>
      </c>
      <c r="AX70" s="219">
        <v>20.2</v>
      </c>
      <c r="AY70" s="195">
        <v>13.3</v>
      </c>
      <c r="AZ70" s="756">
        <v>9.1</v>
      </c>
      <c r="BA70" s="756"/>
      <c r="BB70" s="219"/>
      <c r="BC70" s="839"/>
      <c r="BD70" s="959"/>
      <c r="BE70" s="842"/>
    </row>
    <row r="71" spans="1:60" s="15" customFormat="1" ht="26">
      <c r="A71" s="176" t="s">
        <v>248</v>
      </c>
      <c r="B71" s="193" t="s">
        <v>249</v>
      </c>
      <c r="C71" s="23"/>
      <c r="D71" s="23"/>
      <c r="E71" s="23"/>
      <c r="F71" s="213"/>
      <c r="G71" s="66"/>
      <c r="H71" s="66"/>
      <c r="I71" s="66"/>
      <c r="J71" s="249"/>
      <c r="K71" s="254"/>
      <c r="L71" s="66"/>
      <c r="M71" s="66"/>
      <c r="N71" s="248"/>
      <c r="O71" s="249"/>
      <c r="P71" s="249"/>
      <c r="Q71" s="255"/>
      <c r="R71" s="219"/>
      <c r="S71" s="195"/>
      <c r="T71" s="195"/>
      <c r="U71" s="195"/>
      <c r="V71" s="219"/>
      <c r="W71" s="195"/>
      <c r="X71" s="195"/>
      <c r="Y71" s="195"/>
      <c r="Z71" s="219"/>
      <c r="AA71" s="195"/>
      <c r="AB71" s="195"/>
      <c r="AC71" s="215"/>
      <c r="AD71" s="219"/>
      <c r="AE71" s="195"/>
      <c r="AF71" s="195"/>
      <c r="AG71" s="196"/>
      <c r="AH71" s="67"/>
      <c r="AI71" s="195"/>
      <c r="AJ71" s="195"/>
      <c r="AK71" s="196"/>
      <c r="AL71" s="67">
        <v>415.7</v>
      </c>
      <c r="AM71" s="195">
        <v>0</v>
      </c>
      <c r="AN71" s="218">
        <v>767.5</v>
      </c>
      <c r="AO71" s="218">
        <v>511.7</v>
      </c>
      <c r="AP71" s="67">
        <v>0</v>
      </c>
      <c r="AQ71" s="195">
        <v>0</v>
      </c>
      <c r="AR71" s="217">
        <v>660.8</v>
      </c>
      <c r="AS71" s="218">
        <v>660.8</v>
      </c>
      <c r="AT71" s="67">
        <v>0</v>
      </c>
      <c r="AU71" s="195">
        <v>0</v>
      </c>
      <c r="AV71" s="217">
        <v>0</v>
      </c>
      <c r="AW71" s="217">
        <v>0</v>
      </c>
      <c r="AX71" s="67">
        <v>0</v>
      </c>
      <c r="AY71" s="195">
        <v>0</v>
      </c>
      <c r="AZ71" s="217">
        <v>0</v>
      </c>
      <c r="BA71" s="217"/>
      <c r="BB71" s="67"/>
      <c r="BC71" s="839"/>
      <c r="BD71" s="959"/>
      <c r="BE71" s="842"/>
    </row>
    <row r="72" spans="1:60" s="15" customFormat="1" ht="20.149999999999999" customHeight="1">
      <c r="A72" s="27" t="s">
        <v>250</v>
      </c>
      <c r="B72" s="125" t="s">
        <v>251</v>
      </c>
      <c r="C72" s="23"/>
      <c r="D72" s="23"/>
      <c r="E72" s="23"/>
      <c r="F72" s="213"/>
      <c r="G72" s="66"/>
      <c r="H72" s="66"/>
      <c r="I72" s="66"/>
      <c r="J72" s="249"/>
      <c r="K72" s="254"/>
      <c r="L72" s="66"/>
      <c r="M72" s="66"/>
      <c r="N72" s="248"/>
      <c r="O72" s="249"/>
      <c r="P72" s="249"/>
      <c r="Q72" s="255"/>
      <c r="R72" s="219"/>
      <c r="S72" s="195"/>
      <c r="T72" s="195"/>
      <c r="U72" s="195"/>
      <c r="V72" s="219"/>
      <c r="W72" s="195"/>
      <c r="X72" s="195"/>
      <c r="Y72" s="195"/>
      <c r="Z72" s="219"/>
      <c r="AA72" s="195"/>
      <c r="AB72" s="195"/>
      <c r="AC72" s="215"/>
      <c r="AD72" s="219"/>
      <c r="AE72" s="195"/>
      <c r="AF72" s="195"/>
      <c r="AG72" s="196"/>
      <c r="AH72" s="67"/>
      <c r="AI72" s="195"/>
      <c r="AJ72" s="195"/>
      <c r="AK72" s="196"/>
      <c r="AL72" s="67">
        <v>548</v>
      </c>
      <c r="AM72" s="195">
        <v>0</v>
      </c>
      <c r="AN72" s="196">
        <v>0</v>
      </c>
      <c r="AO72" s="196">
        <v>0</v>
      </c>
      <c r="AP72" s="67">
        <v>0</v>
      </c>
      <c r="AQ72" s="195">
        <v>0</v>
      </c>
      <c r="AR72" s="756">
        <v>0</v>
      </c>
      <c r="AS72" s="756">
        <v>0</v>
      </c>
      <c r="AT72" s="67">
        <v>0</v>
      </c>
      <c r="AU72" s="195">
        <v>0</v>
      </c>
      <c r="AV72" s="756">
        <v>0</v>
      </c>
      <c r="AW72" s="756">
        <v>0</v>
      </c>
      <c r="AX72" s="67">
        <v>0</v>
      </c>
      <c r="AY72" s="195">
        <v>0</v>
      </c>
      <c r="AZ72" s="756">
        <v>0</v>
      </c>
      <c r="BA72" s="756"/>
      <c r="BB72" s="67"/>
      <c r="BC72" s="839"/>
      <c r="BD72" s="959"/>
      <c r="BE72" s="842"/>
    </row>
    <row r="73" spans="1:60" s="7" customFormat="1" ht="20.149999999999999" customHeight="1">
      <c r="A73" s="27" t="s">
        <v>252</v>
      </c>
      <c r="B73" s="125" t="s">
        <v>253</v>
      </c>
      <c r="C73" s="41">
        <f>29.589</f>
        <v>29.588999999999999</v>
      </c>
      <c r="D73" s="41">
        <f>(7799)*0.001</f>
        <v>7.7990000000000004</v>
      </c>
      <c r="E73" s="41">
        <f>(6782)*0.001</f>
        <v>6.782</v>
      </c>
      <c r="F73" s="234">
        <f>(7092)*0.001</f>
        <v>7.0920000000000005</v>
      </c>
      <c r="G73" s="235">
        <f>(1990)*0.001</f>
        <v>1.99</v>
      </c>
      <c r="H73" s="235">
        <f>(6510)*0.001</f>
        <v>6.51</v>
      </c>
      <c r="I73" s="235">
        <f>(14152)*0.001</f>
        <v>14.152000000000001</v>
      </c>
      <c r="J73" s="235">
        <f>(4520)*0.001</f>
        <v>4.5200000000000005</v>
      </c>
      <c r="K73" s="247">
        <f>(12203)*0.001</f>
        <v>12.202999999999999</v>
      </c>
      <c r="L73" s="233">
        <v>43.7</v>
      </c>
      <c r="M73" s="233">
        <v>22.1</v>
      </c>
      <c r="N73" s="240">
        <v>48.028993427171699</v>
      </c>
      <c r="O73" s="243">
        <v>22.5</v>
      </c>
      <c r="P73" s="243">
        <v>132.69999999999999</v>
      </c>
      <c r="Q73" s="233">
        <v>96.3</v>
      </c>
      <c r="R73" s="67">
        <v>176.1</v>
      </c>
      <c r="S73" s="215">
        <v>29.2</v>
      </c>
      <c r="T73" s="215">
        <v>39.1</v>
      </c>
      <c r="U73" s="215">
        <v>21.967722325707697</v>
      </c>
      <c r="V73" s="67">
        <v>24.9</v>
      </c>
      <c r="W73" s="215">
        <v>4.3</v>
      </c>
      <c r="X73" s="215">
        <v>24.9</v>
      </c>
      <c r="Y73" s="215">
        <v>17.5</v>
      </c>
      <c r="Z73" s="67">
        <v>61.3</v>
      </c>
      <c r="AA73" s="215">
        <v>60.1</v>
      </c>
      <c r="AB73" s="215">
        <v>44.9</v>
      </c>
      <c r="AC73" s="215">
        <v>62.3</v>
      </c>
      <c r="AD73" s="67">
        <v>151.1</v>
      </c>
      <c r="AE73" s="215">
        <v>191.1</v>
      </c>
      <c r="AF73" s="215">
        <v>154.30000000000001</v>
      </c>
      <c r="AG73" s="218">
        <v>192.4</v>
      </c>
      <c r="AH73" s="67">
        <v>276.60000000000002</v>
      </c>
      <c r="AI73" s="215">
        <v>335.6</v>
      </c>
      <c r="AJ73" s="215">
        <v>126.1</v>
      </c>
      <c r="AK73" s="218">
        <v>100.2</v>
      </c>
      <c r="AL73" s="67">
        <v>128.9</v>
      </c>
      <c r="AM73" s="215">
        <v>171</v>
      </c>
      <c r="AN73" s="218">
        <v>65</v>
      </c>
      <c r="AO73" s="218">
        <v>954.6</v>
      </c>
      <c r="AP73" s="67">
        <v>964.2</v>
      </c>
      <c r="AQ73" s="215">
        <v>1007</v>
      </c>
      <c r="AR73" s="217">
        <v>91.5</v>
      </c>
      <c r="AS73" s="217">
        <v>107.9</v>
      </c>
      <c r="AT73" s="779">
        <v>74.3</v>
      </c>
      <c r="AU73" s="215">
        <v>81.400000000000006</v>
      </c>
      <c r="AV73" s="217">
        <v>20.7</v>
      </c>
      <c r="AW73" s="217">
        <v>60.1</v>
      </c>
      <c r="AX73" s="779">
        <v>31.4</v>
      </c>
      <c r="AY73" s="215">
        <v>19.899999999999999</v>
      </c>
      <c r="AZ73" s="217">
        <v>32</v>
      </c>
      <c r="BA73" s="217"/>
      <c r="BB73" s="779"/>
      <c r="BC73" s="839"/>
      <c r="BD73" s="959"/>
      <c r="BE73" s="842"/>
    </row>
    <row r="74" spans="1:60" s="7" customFormat="1" ht="20.149999999999999" customHeight="1">
      <c r="A74" s="27" t="s">
        <v>254</v>
      </c>
      <c r="B74" s="125" t="s">
        <v>255</v>
      </c>
      <c r="C74" s="41">
        <f>12.532</f>
        <v>12.532</v>
      </c>
      <c r="D74" s="41">
        <f>(12125)*0.001</f>
        <v>12.125</v>
      </c>
      <c r="E74" s="41">
        <f>(12084)*0.001</f>
        <v>12.084</v>
      </c>
      <c r="F74" s="234">
        <f>(13259)*0.001</f>
        <v>13.259</v>
      </c>
      <c r="G74" s="235">
        <f>(13182)*0.001</f>
        <v>13.182</v>
      </c>
      <c r="H74" s="235">
        <f>(12551)*0.001</f>
        <v>12.551</v>
      </c>
      <c r="I74" s="235">
        <f>(12536)*0.001</f>
        <v>12.536</v>
      </c>
      <c r="J74" s="235">
        <f>(2727)*0.001</f>
        <v>2.7269999999999999</v>
      </c>
      <c r="K74" s="247">
        <f>(2843)*0.001</f>
        <v>2.843</v>
      </c>
      <c r="L74" s="233">
        <v>2.6</v>
      </c>
      <c r="M74" s="233">
        <v>2.7</v>
      </c>
      <c r="N74" s="240">
        <v>1.4</v>
      </c>
      <c r="O74" s="243">
        <v>1.4</v>
      </c>
      <c r="P74" s="256" t="s">
        <v>256</v>
      </c>
      <c r="Q74" s="256" t="s">
        <v>256</v>
      </c>
      <c r="R74" s="220" t="s">
        <v>256</v>
      </c>
      <c r="S74" s="221" t="s">
        <v>256</v>
      </c>
      <c r="T74" s="221" t="s">
        <v>256</v>
      </c>
      <c r="U74" s="221" t="s">
        <v>256</v>
      </c>
      <c r="V74" s="220" t="s">
        <v>256</v>
      </c>
      <c r="W74" s="221" t="s">
        <v>256</v>
      </c>
      <c r="X74" s="221" t="s">
        <v>256</v>
      </c>
      <c r="Y74" s="221" t="s">
        <v>256</v>
      </c>
      <c r="Z74" s="220" t="s">
        <v>256</v>
      </c>
      <c r="AA74" s="221" t="s">
        <v>256</v>
      </c>
      <c r="AB74" s="221" t="s">
        <v>256</v>
      </c>
      <c r="AC74" s="221" t="s">
        <v>256</v>
      </c>
      <c r="AD74" s="220" t="s">
        <v>256</v>
      </c>
      <c r="AE74" s="221" t="s">
        <v>256</v>
      </c>
      <c r="AF74" s="221" t="s">
        <v>256</v>
      </c>
      <c r="AG74" s="221" t="s">
        <v>256</v>
      </c>
      <c r="AH74" s="220" t="s">
        <v>256</v>
      </c>
      <c r="AI74" s="221" t="s">
        <v>256</v>
      </c>
      <c r="AJ74" s="221" t="s">
        <v>256</v>
      </c>
      <c r="AK74" s="221" t="s">
        <v>256</v>
      </c>
      <c r="AL74" s="220" t="s">
        <v>256</v>
      </c>
      <c r="AM74" s="221" t="s">
        <v>256</v>
      </c>
      <c r="AN74" s="221" t="s">
        <v>256</v>
      </c>
      <c r="AO74" s="221" t="s">
        <v>256</v>
      </c>
      <c r="AP74" s="220" t="s">
        <v>256</v>
      </c>
      <c r="AQ74" s="221" t="s">
        <v>256</v>
      </c>
      <c r="AR74" s="757" t="s">
        <v>256</v>
      </c>
      <c r="AS74" s="221" t="s">
        <v>256</v>
      </c>
      <c r="AT74" s="220" t="s">
        <v>256</v>
      </c>
      <c r="AU74" s="221" t="s">
        <v>256</v>
      </c>
      <c r="AV74" s="757" t="s">
        <v>256</v>
      </c>
      <c r="AW74" s="757" t="s">
        <v>256</v>
      </c>
      <c r="AX74" s="220" t="s">
        <v>256</v>
      </c>
      <c r="AY74" s="221" t="s">
        <v>256</v>
      </c>
      <c r="AZ74" s="757" t="s">
        <v>256</v>
      </c>
      <c r="BA74" s="757"/>
      <c r="BB74" s="220"/>
      <c r="BC74" s="839"/>
      <c r="BD74" s="959"/>
      <c r="BE74" s="842"/>
    </row>
    <row r="75" spans="1:60" s="7" customFormat="1" ht="20.149999999999999" customHeight="1" thickBot="1">
      <c r="A75" s="27" t="s">
        <v>235</v>
      </c>
      <c r="B75" s="125" t="s">
        <v>236</v>
      </c>
      <c r="C75" s="41">
        <f>188.402</f>
        <v>188.40199999999999</v>
      </c>
      <c r="D75" s="41">
        <f>(209950)*0.001</f>
        <v>209.95000000000002</v>
      </c>
      <c r="E75" s="41">
        <f>(210563)*0.001</f>
        <v>210.56300000000002</v>
      </c>
      <c r="F75" s="234">
        <f>(201238)*0.001</f>
        <v>201.238</v>
      </c>
      <c r="G75" s="235">
        <f>(207890)*0.001</f>
        <v>207.89000000000001</v>
      </c>
      <c r="H75" s="235">
        <f>(204442)*0.001</f>
        <v>204.44200000000001</v>
      </c>
      <c r="I75" s="235">
        <f>(210688)*0.001</f>
        <v>210.68800000000002</v>
      </c>
      <c r="J75" s="235">
        <f>(209485)*0.001</f>
        <v>209.48500000000001</v>
      </c>
      <c r="K75" s="247">
        <f>(228170)*0.001</f>
        <v>228.17000000000002</v>
      </c>
      <c r="L75" s="233">
        <v>678</v>
      </c>
      <c r="M75" s="233">
        <v>672.7</v>
      </c>
      <c r="N75" s="240">
        <v>683.9</v>
      </c>
      <c r="O75" s="243">
        <v>670.3</v>
      </c>
      <c r="P75" s="243">
        <v>672</v>
      </c>
      <c r="Q75" s="233">
        <v>680.9</v>
      </c>
      <c r="R75" s="67">
        <v>676.1</v>
      </c>
      <c r="S75" s="215">
        <v>665</v>
      </c>
      <c r="T75" s="215">
        <v>676.8</v>
      </c>
      <c r="U75" s="215">
        <v>660.84343092999995</v>
      </c>
      <c r="V75" s="67">
        <v>647.9</v>
      </c>
      <c r="W75" s="215">
        <v>633.79999999999995</v>
      </c>
      <c r="X75" s="215">
        <v>637.29999999999995</v>
      </c>
      <c r="Y75" s="215">
        <v>629.5</v>
      </c>
      <c r="Z75" s="67">
        <v>618.29999999999995</v>
      </c>
      <c r="AA75" s="215">
        <v>356</v>
      </c>
      <c r="AB75" s="215">
        <v>39.799999999999997</v>
      </c>
      <c r="AC75" s="215">
        <v>65</v>
      </c>
      <c r="AD75" s="67">
        <v>0</v>
      </c>
      <c r="AE75" s="215">
        <v>0</v>
      </c>
      <c r="AF75" s="215">
        <v>0</v>
      </c>
      <c r="AG75" s="215">
        <v>0</v>
      </c>
      <c r="AH75" s="67">
        <v>0</v>
      </c>
      <c r="AI75" s="215">
        <v>0</v>
      </c>
      <c r="AJ75" s="215">
        <v>0</v>
      </c>
      <c r="AK75" s="215">
        <v>0</v>
      </c>
      <c r="AL75" s="67">
        <v>0</v>
      </c>
      <c r="AM75" s="215">
        <v>0</v>
      </c>
      <c r="AN75" s="215">
        <v>0</v>
      </c>
      <c r="AO75" s="215">
        <v>0</v>
      </c>
      <c r="AP75" s="67">
        <v>0</v>
      </c>
      <c r="AQ75" s="215">
        <v>0</v>
      </c>
      <c r="AR75" s="755">
        <v>0</v>
      </c>
      <c r="AS75" s="215">
        <v>0</v>
      </c>
      <c r="AT75" s="67">
        <v>0</v>
      </c>
      <c r="AU75" s="215">
        <v>0</v>
      </c>
      <c r="AV75" s="755">
        <v>0</v>
      </c>
      <c r="AW75" s="755">
        <v>0</v>
      </c>
      <c r="AX75" s="67">
        <v>0</v>
      </c>
      <c r="AY75" s="215">
        <v>0</v>
      </c>
      <c r="AZ75" s="755">
        <v>0</v>
      </c>
      <c r="BA75" s="755"/>
      <c r="BB75" s="67"/>
      <c r="BC75" s="839"/>
      <c r="BD75" s="959"/>
      <c r="BE75" s="842"/>
      <c r="BG75" s="841"/>
      <c r="BH75" s="841"/>
    </row>
    <row r="76" spans="1:60" s="224" customFormat="1" ht="25.25" customHeight="1" thickBot="1">
      <c r="A76" s="398" t="s">
        <v>257</v>
      </c>
      <c r="B76" s="402" t="s">
        <v>258</v>
      </c>
      <c r="C76" s="399">
        <f t="shared" ref="C76:M76" si="32">SUM(C64:C75)</f>
        <v>1017.386</v>
      </c>
      <c r="D76" s="400">
        <f t="shared" si="32"/>
        <v>1033.443</v>
      </c>
      <c r="E76" s="400">
        <f t="shared" si="32"/>
        <v>1009.7019999999999</v>
      </c>
      <c r="F76" s="401">
        <f t="shared" si="32"/>
        <v>1066.78</v>
      </c>
      <c r="G76" s="400">
        <f t="shared" si="32"/>
        <v>1007.745</v>
      </c>
      <c r="H76" s="400">
        <f t="shared" si="32"/>
        <v>1018.1</v>
      </c>
      <c r="I76" s="400">
        <f t="shared" si="32"/>
        <v>945.28899999999999</v>
      </c>
      <c r="J76" s="401">
        <f t="shared" si="32"/>
        <v>986.83100000000002</v>
      </c>
      <c r="K76" s="399">
        <f t="shared" si="32"/>
        <v>1003.5449999999998</v>
      </c>
      <c r="L76" s="400">
        <f t="shared" si="32"/>
        <v>3990.3999999999992</v>
      </c>
      <c r="M76" s="400">
        <f t="shared" si="32"/>
        <v>4126.7</v>
      </c>
      <c r="N76" s="401">
        <f t="shared" ref="N76:U76" si="33">SUM(N64:N75)-N70</f>
        <v>4167.2289934271712</v>
      </c>
      <c r="O76" s="399">
        <f t="shared" si="33"/>
        <v>4149.8</v>
      </c>
      <c r="P76" s="400">
        <f t="shared" si="33"/>
        <v>4244.8</v>
      </c>
      <c r="Q76" s="400">
        <f t="shared" si="33"/>
        <v>7899.8</v>
      </c>
      <c r="R76" s="401">
        <f t="shared" si="33"/>
        <v>8466.5000000000018</v>
      </c>
      <c r="S76" s="399">
        <f t="shared" si="33"/>
        <v>4162.5999999999995</v>
      </c>
      <c r="T76" s="400">
        <f t="shared" si="33"/>
        <v>3503.3999999999996</v>
      </c>
      <c r="U76" s="400">
        <f t="shared" si="33"/>
        <v>3454.8111532557077</v>
      </c>
      <c r="V76" s="401">
        <f t="shared" ref="V76" si="34">SUM(V64:V75)-V70</f>
        <v>3681.2000000000003</v>
      </c>
      <c r="W76" s="399">
        <f t="shared" ref="W76:X76" si="35">SUM(W64:W75)-W70</f>
        <v>4366</v>
      </c>
      <c r="X76" s="400">
        <f t="shared" si="35"/>
        <v>4330.2</v>
      </c>
      <c r="Y76" s="400">
        <f t="shared" ref="Y76:Z76" si="36">SUM(Y64:Y75)-Y70</f>
        <v>4036.3999999999996</v>
      </c>
      <c r="Z76" s="401">
        <f t="shared" si="36"/>
        <v>3915.5000000000005</v>
      </c>
      <c r="AA76" s="399">
        <f t="shared" ref="AA76:AH76" si="37">SUM(AA64:AA75)-AA70</f>
        <v>2927.4</v>
      </c>
      <c r="AB76" s="400">
        <f t="shared" si="37"/>
        <v>4236.8</v>
      </c>
      <c r="AC76" s="400">
        <f t="shared" si="37"/>
        <v>4611.5</v>
      </c>
      <c r="AD76" s="401">
        <f t="shared" si="37"/>
        <v>5018.6000000000004</v>
      </c>
      <c r="AE76" s="399">
        <f t="shared" si="37"/>
        <v>4813.3000000000011</v>
      </c>
      <c r="AF76" s="400">
        <f t="shared" si="37"/>
        <v>5401.4000000000005</v>
      </c>
      <c r="AG76" s="400">
        <f t="shared" si="37"/>
        <v>5628.6</v>
      </c>
      <c r="AH76" s="401">
        <f t="shared" si="37"/>
        <v>5868.2000000000007</v>
      </c>
      <c r="AI76" s="399">
        <f t="shared" ref="AI76:AK76" si="38">SUM(AI64:AI75)-AI70</f>
        <v>5111.5</v>
      </c>
      <c r="AJ76" s="400">
        <f t="shared" si="38"/>
        <v>3888.2</v>
      </c>
      <c r="AK76" s="400">
        <f t="shared" si="38"/>
        <v>4658</v>
      </c>
      <c r="AL76" s="401">
        <f>SUM(AL64:AL75)-AL70</f>
        <v>5274.4</v>
      </c>
      <c r="AM76" s="399">
        <f t="shared" ref="AM76:AO76" si="39">SUM(AM64:AM75)-AM70</f>
        <v>4003.5</v>
      </c>
      <c r="AN76" s="400">
        <f t="shared" si="39"/>
        <v>4641</v>
      </c>
      <c r="AO76" s="400">
        <f t="shared" si="39"/>
        <v>6803.2</v>
      </c>
      <c r="AP76" s="401">
        <f>SUM(AP64:AP75)-AP70</f>
        <v>5626.3</v>
      </c>
      <c r="AQ76" s="399">
        <f t="shared" ref="AQ76:AS76" si="40">SUM(AQ64:AQ75)-AQ70</f>
        <v>5549</v>
      </c>
      <c r="AR76" s="753">
        <f>SUM(AR64:AR75)-AR70</f>
        <v>5682.5000000000009</v>
      </c>
      <c r="AS76" s="400">
        <f t="shared" si="40"/>
        <v>5573.9</v>
      </c>
      <c r="AT76" s="778">
        <f>SUM(AT64:AT75)-AT70</f>
        <v>6315.4000000000005</v>
      </c>
      <c r="AU76" s="399">
        <f t="shared" ref="AU76" si="41">SUM(AU64:AU75)-AU70</f>
        <v>6030.7</v>
      </c>
      <c r="AV76" s="400">
        <f>SUM(AV64:AV75)-AV70</f>
        <v>5624.9</v>
      </c>
      <c r="AW76" s="400">
        <f>SUM(AW64:AW75)-AW70</f>
        <v>6756.3000000000011</v>
      </c>
      <c r="AX76" s="778">
        <f>SUM(AX64:AX75)-AX70</f>
        <v>5515.7999999999993</v>
      </c>
      <c r="AY76" s="399">
        <f t="shared" ref="AY76:AZ76" si="42">SUM(AY64:AY75)-AY70</f>
        <v>5176.8999999999996</v>
      </c>
      <c r="AZ76" s="400">
        <f t="shared" si="42"/>
        <v>5289.2</v>
      </c>
      <c r="BA76" s="400"/>
      <c r="BB76" s="778"/>
      <c r="BC76" s="839"/>
      <c r="BD76" s="959"/>
      <c r="BE76" s="842"/>
      <c r="BF76" s="860"/>
      <c r="BG76" s="940"/>
      <c r="BH76" s="860"/>
    </row>
    <row r="77" spans="1:60" s="7" customFormat="1" ht="20.149999999999999" customHeight="1">
      <c r="A77" s="223" t="s">
        <v>259</v>
      </c>
      <c r="B77" s="206" t="s">
        <v>260</v>
      </c>
      <c r="C77" s="41"/>
      <c r="D77" s="41"/>
      <c r="E77" s="41"/>
      <c r="F77" s="234"/>
      <c r="G77" s="235"/>
      <c r="H77" s="235"/>
      <c r="I77" s="235"/>
      <c r="J77" s="235"/>
      <c r="K77" s="247"/>
      <c r="L77" s="233"/>
      <c r="M77" s="233"/>
      <c r="N77" s="240"/>
      <c r="O77" s="243"/>
      <c r="P77" s="256"/>
      <c r="Q77" s="256"/>
      <c r="R77" s="220"/>
      <c r="S77" s="221"/>
      <c r="T77" s="221"/>
      <c r="U77" s="221"/>
      <c r="V77" s="220"/>
      <c r="W77" s="221"/>
      <c r="X77" s="221"/>
      <c r="Y77" s="221"/>
      <c r="Z77" s="220"/>
      <c r="AA77" s="221"/>
      <c r="AB77" s="221"/>
      <c r="AC77" s="221"/>
      <c r="AD77" s="220"/>
      <c r="AE77" s="221"/>
      <c r="AF77" s="221"/>
      <c r="AG77" s="221"/>
      <c r="AH77" s="220"/>
      <c r="AI77" s="221"/>
      <c r="AJ77" s="221"/>
      <c r="AK77" s="221"/>
      <c r="AL77" s="220"/>
      <c r="AM77" s="215">
        <v>1284.2</v>
      </c>
      <c r="AN77" s="215">
        <v>1223.8</v>
      </c>
      <c r="AO77" s="215">
        <v>0</v>
      </c>
      <c r="AP77" s="220"/>
      <c r="AQ77" s="215"/>
      <c r="AR77" s="755"/>
      <c r="AS77" s="215"/>
      <c r="AT77" s="220"/>
      <c r="AU77" s="858"/>
      <c r="AV77" s="755"/>
      <c r="AW77" s="215"/>
      <c r="AX77" s="779">
        <v>0.8</v>
      </c>
      <c r="AY77" s="858"/>
      <c r="AZ77" s="755"/>
      <c r="BA77" s="215"/>
      <c r="BB77" s="779"/>
      <c r="BC77" s="839"/>
      <c r="BD77" s="959"/>
      <c r="BE77" s="842"/>
    </row>
    <row r="78" spans="1:60" s="7" customFormat="1" ht="20.149999999999999" customHeight="1" thickBot="1">
      <c r="A78" s="393" t="s">
        <v>261</v>
      </c>
      <c r="B78" s="394" t="s">
        <v>262</v>
      </c>
      <c r="C78" s="41"/>
      <c r="D78" s="41"/>
      <c r="E78" s="41"/>
      <c r="F78" s="234"/>
      <c r="G78" s="235"/>
      <c r="H78" s="235"/>
      <c r="I78" s="235"/>
      <c r="J78" s="235"/>
      <c r="K78" s="247"/>
      <c r="L78" s="233"/>
      <c r="M78" s="233"/>
      <c r="N78" s="240"/>
      <c r="O78" s="243"/>
      <c r="P78" s="256"/>
      <c r="Q78" s="256"/>
      <c r="R78" s="220"/>
      <c r="S78" s="221"/>
      <c r="T78" s="221"/>
      <c r="U78" s="221"/>
      <c r="V78" s="220"/>
      <c r="W78" s="221"/>
      <c r="X78" s="221"/>
      <c r="Y78" s="221"/>
      <c r="Z78" s="220"/>
      <c r="AA78" s="221"/>
      <c r="AB78" s="221"/>
      <c r="AC78" s="221"/>
      <c r="AD78" s="220"/>
      <c r="AE78" s="221"/>
      <c r="AF78" s="221"/>
      <c r="AG78" s="221"/>
      <c r="AH78" s="220"/>
      <c r="AI78" s="221"/>
      <c r="AJ78" s="221"/>
      <c r="AK78" s="221"/>
      <c r="AL78" s="220"/>
      <c r="AM78" s="195">
        <v>803.1</v>
      </c>
      <c r="AN78" s="195">
        <v>769.4</v>
      </c>
      <c r="AO78" s="195">
        <v>0</v>
      </c>
      <c r="AP78" s="220"/>
      <c r="AQ78" s="195"/>
      <c r="AR78" s="752"/>
      <c r="AS78" s="195"/>
      <c r="AT78" s="220"/>
      <c r="AU78" s="859"/>
      <c r="AV78" s="752"/>
      <c r="AW78" s="195"/>
      <c r="AX78" s="220"/>
      <c r="AY78" s="859"/>
      <c r="AZ78" s="752"/>
      <c r="BA78" s="195"/>
      <c r="BB78" s="220"/>
      <c r="BC78" s="839"/>
      <c r="BD78" s="959"/>
      <c r="BE78" s="842"/>
    </row>
    <row r="79" spans="1:60" s="224" customFormat="1" ht="25.25" customHeight="1" thickBot="1">
      <c r="A79" s="398" t="s">
        <v>263</v>
      </c>
      <c r="B79" s="402" t="s">
        <v>264</v>
      </c>
      <c r="C79" s="399" t="e">
        <f>C63+C76</f>
        <v>#VALUE!</v>
      </c>
      <c r="D79" s="400">
        <f>D63+D76</f>
        <v>3405.5320000000002</v>
      </c>
      <c r="E79" s="400">
        <f>E63+E76</f>
        <v>3159.9589999999994</v>
      </c>
      <c r="F79" s="401">
        <f t="shared" ref="F79:U79" si="43">F76+F63</f>
        <v>3092.942</v>
      </c>
      <c r="G79" s="400">
        <f t="shared" si="43"/>
        <v>3067.306</v>
      </c>
      <c r="H79" s="400">
        <f t="shared" si="43"/>
        <v>2945.4119999999998</v>
      </c>
      <c r="I79" s="400">
        <f t="shared" si="43"/>
        <v>2772.4030000000002</v>
      </c>
      <c r="J79" s="401">
        <f t="shared" si="43"/>
        <v>2687.0169999999998</v>
      </c>
      <c r="K79" s="399">
        <f t="shared" si="43"/>
        <v>2742.8450000000003</v>
      </c>
      <c r="L79" s="400">
        <f t="shared" si="43"/>
        <v>18735.399999999998</v>
      </c>
      <c r="M79" s="400">
        <f t="shared" si="43"/>
        <v>18350.5</v>
      </c>
      <c r="N79" s="401">
        <f t="shared" si="43"/>
        <v>18260.528993427175</v>
      </c>
      <c r="O79" s="399">
        <f t="shared" si="43"/>
        <v>17777</v>
      </c>
      <c r="P79" s="400">
        <f t="shared" si="43"/>
        <v>17584</v>
      </c>
      <c r="Q79" s="400">
        <f t="shared" si="43"/>
        <v>16083.5</v>
      </c>
      <c r="R79" s="401">
        <f t="shared" si="43"/>
        <v>16240.000000000002</v>
      </c>
      <c r="S79" s="399">
        <f t="shared" si="43"/>
        <v>17950.3</v>
      </c>
      <c r="T79" s="400">
        <f t="shared" si="43"/>
        <v>16819.5</v>
      </c>
      <c r="U79" s="400">
        <f t="shared" si="43"/>
        <v>16459.611153255708</v>
      </c>
      <c r="V79" s="401">
        <f t="shared" ref="V79:W79" si="44">V76+V63</f>
        <v>16351.700000000003</v>
      </c>
      <c r="W79" s="399">
        <f t="shared" si="44"/>
        <v>15904.9</v>
      </c>
      <c r="X79" s="400">
        <f t="shared" ref="X79:Y79" si="45">X76+X63</f>
        <v>15592.399999999998</v>
      </c>
      <c r="Y79" s="400">
        <f t="shared" si="45"/>
        <v>14932.699999999999</v>
      </c>
      <c r="Z79" s="401">
        <f t="shared" ref="Z79" si="46">Z76+Z63</f>
        <v>15639.2</v>
      </c>
      <c r="AA79" s="399">
        <f t="shared" ref="AA79:AH79" si="47">AA76+AA63</f>
        <v>14989.4</v>
      </c>
      <c r="AB79" s="400">
        <f t="shared" si="47"/>
        <v>16297.599999999999</v>
      </c>
      <c r="AC79" s="400">
        <f t="shared" si="47"/>
        <v>16714</v>
      </c>
      <c r="AD79" s="401">
        <f t="shared" si="47"/>
        <v>16821.599999999999</v>
      </c>
      <c r="AE79" s="399">
        <f t="shared" si="47"/>
        <v>17291.2</v>
      </c>
      <c r="AF79" s="400">
        <f t="shared" si="47"/>
        <v>17440.7</v>
      </c>
      <c r="AG79" s="400">
        <f t="shared" si="47"/>
        <v>17122.600000000002</v>
      </c>
      <c r="AH79" s="401">
        <f t="shared" si="47"/>
        <v>18125.099999999999</v>
      </c>
      <c r="AI79" s="399">
        <f t="shared" ref="AI79:AL79" si="48">AI76+AI63</f>
        <v>18018.7</v>
      </c>
      <c r="AJ79" s="400">
        <f t="shared" si="48"/>
        <v>17684.800000000003</v>
      </c>
      <c r="AK79" s="400">
        <f t="shared" si="48"/>
        <v>18170.8</v>
      </c>
      <c r="AL79" s="401">
        <f t="shared" si="48"/>
        <v>18688.800000000003</v>
      </c>
      <c r="AM79" s="399">
        <f>AM76+AM63+AM77</f>
        <v>17588.199999999997</v>
      </c>
      <c r="AN79" s="400">
        <f>AN76+AN63+AN77</f>
        <v>17959.900000000001</v>
      </c>
      <c r="AO79" s="400">
        <f t="shared" ref="AO79:AP79" si="49">AO76+AO63</f>
        <v>18463.2</v>
      </c>
      <c r="AP79" s="401">
        <f t="shared" si="49"/>
        <v>16852.399999999998</v>
      </c>
      <c r="AQ79" s="399">
        <f>AQ76+AQ63+AQ77</f>
        <v>16288.300000000001</v>
      </c>
      <c r="AR79" s="753">
        <f>AR76+AR63+AR77</f>
        <v>16389.200000000004</v>
      </c>
      <c r="AS79" s="400">
        <f t="shared" ref="AS79:AT79" si="50">AS76+AS63</f>
        <v>16031.699999999999</v>
      </c>
      <c r="AT79" s="778">
        <f t="shared" si="50"/>
        <v>16495.800000000003</v>
      </c>
      <c r="AU79" s="399">
        <f>AU76+AU63+AU77</f>
        <v>16940.900000000001</v>
      </c>
      <c r="AV79" s="400">
        <f>AV76+AV63+AV77</f>
        <v>18845.3</v>
      </c>
      <c r="AW79" s="400">
        <f>AW76+AW63</f>
        <v>21008.800000000003</v>
      </c>
      <c r="AX79" s="778">
        <f>AX76+AX63+AX77</f>
        <v>20871.499999999996</v>
      </c>
      <c r="AY79" s="399">
        <f>AY76+AY63+AY77</f>
        <v>20072.8</v>
      </c>
      <c r="AZ79" s="400">
        <f>AZ76+AZ63+AZ77</f>
        <v>20113.400000000001</v>
      </c>
      <c r="BA79" s="400"/>
      <c r="BB79" s="778"/>
      <c r="BC79" s="839"/>
      <c r="BD79" s="959"/>
      <c r="BE79" s="842"/>
    </row>
    <row r="80" spans="1:60" s="225" customFormat="1" ht="25.25" customHeight="1">
      <c r="A80" s="389" t="s">
        <v>265</v>
      </c>
      <c r="B80" s="389" t="s">
        <v>199</v>
      </c>
      <c r="C80" s="390" t="e">
        <f t="shared" ref="C80:U80" si="51">C79+C54</f>
        <v>#VALUE!</v>
      </c>
      <c r="D80" s="391">
        <f t="shared" si="51"/>
        <v>5597.8010000000004</v>
      </c>
      <c r="E80" s="391">
        <f t="shared" si="51"/>
        <v>5514.8739999999998</v>
      </c>
      <c r="F80" s="392">
        <f t="shared" si="51"/>
        <v>5561.3450000000003</v>
      </c>
      <c r="G80" s="391">
        <f t="shared" si="51"/>
        <v>5629.4740000000002</v>
      </c>
      <c r="H80" s="391">
        <f t="shared" si="51"/>
        <v>5592.7070000000003</v>
      </c>
      <c r="I80" s="391">
        <f t="shared" si="51"/>
        <v>5597.9809999999998</v>
      </c>
      <c r="J80" s="392">
        <f t="shared" si="51"/>
        <v>5688.23</v>
      </c>
      <c r="K80" s="390">
        <f t="shared" si="51"/>
        <v>5851.1939999999995</v>
      </c>
      <c r="L80" s="391">
        <f t="shared" si="51"/>
        <v>27827.1</v>
      </c>
      <c r="M80" s="391">
        <f t="shared" si="51"/>
        <v>27481.200000000001</v>
      </c>
      <c r="N80" s="392">
        <f t="shared" si="51"/>
        <v>27338.728993427176</v>
      </c>
      <c r="O80" s="390">
        <f t="shared" si="51"/>
        <v>27088.9</v>
      </c>
      <c r="P80" s="391">
        <f t="shared" si="51"/>
        <v>27141.800000000003</v>
      </c>
      <c r="Q80" s="391">
        <f t="shared" si="51"/>
        <v>26143.5</v>
      </c>
      <c r="R80" s="392">
        <f t="shared" si="51"/>
        <v>26490.100000000002</v>
      </c>
      <c r="S80" s="390">
        <f t="shared" si="51"/>
        <v>28355.5</v>
      </c>
      <c r="T80" s="391">
        <f t="shared" si="51"/>
        <v>27581.1</v>
      </c>
      <c r="U80" s="391">
        <f t="shared" si="51"/>
        <v>27493.111153255708</v>
      </c>
      <c r="V80" s="392">
        <f t="shared" ref="V80:W80" si="52">V79+V54</f>
        <v>27729.300000000003</v>
      </c>
      <c r="W80" s="390">
        <f t="shared" si="52"/>
        <v>27553.199999999997</v>
      </c>
      <c r="X80" s="391">
        <f t="shared" ref="X80:Y80" si="53">X79+X54</f>
        <v>27317.5</v>
      </c>
      <c r="Y80" s="391">
        <f t="shared" si="53"/>
        <v>26892.6</v>
      </c>
      <c r="Z80" s="392">
        <f t="shared" ref="Z80" si="54">Z79+Z54</f>
        <v>27756</v>
      </c>
      <c r="AA80" s="390">
        <f t="shared" ref="AA80:AH80" si="55">AA79+AA54</f>
        <v>27894.400000000001</v>
      </c>
      <c r="AB80" s="391">
        <f t="shared" si="55"/>
        <v>29751.599999999999</v>
      </c>
      <c r="AC80" s="391">
        <f t="shared" si="55"/>
        <v>30395.3</v>
      </c>
      <c r="AD80" s="392">
        <f t="shared" si="55"/>
        <v>30696.799999999999</v>
      </c>
      <c r="AE80" s="390">
        <f t="shared" si="55"/>
        <v>31463.800000000003</v>
      </c>
      <c r="AF80" s="391">
        <f t="shared" si="55"/>
        <v>31359.200000000001</v>
      </c>
      <c r="AG80" s="391">
        <f t="shared" si="55"/>
        <v>31277.700000000004</v>
      </c>
      <c r="AH80" s="392">
        <f t="shared" si="55"/>
        <v>32589.599999999999</v>
      </c>
      <c r="AI80" s="390">
        <f t="shared" ref="AI80:AL80" si="56">AI79+AI54</f>
        <v>32658.700000000004</v>
      </c>
      <c r="AJ80" s="391">
        <f t="shared" si="56"/>
        <v>32622.800000000003</v>
      </c>
      <c r="AK80" s="391">
        <f t="shared" si="56"/>
        <v>32814.1</v>
      </c>
      <c r="AL80" s="392">
        <f t="shared" si="56"/>
        <v>33115</v>
      </c>
      <c r="AM80" s="390">
        <f t="shared" ref="AM80:AP80" si="57">AM79+AM54</f>
        <v>32954.5</v>
      </c>
      <c r="AN80" s="391">
        <f t="shared" si="57"/>
        <v>32922.300000000003</v>
      </c>
      <c r="AO80" s="391">
        <f t="shared" si="57"/>
        <v>35967.4</v>
      </c>
      <c r="AP80" s="392">
        <f t="shared" si="57"/>
        <v>32236.999999999996</v>
      </c>
      <c r="AQ80" s="390">
        <f t="shared" ref="AQ80:AS80" si="58">AQ79+AQ54</f>
        <v>31895.200000000004</v>
      </c>
      <c r="AR80" s="391">
        <f>AR79+AR54</f>
        <v>31814.000000000007</v>
      </c>
      <c r="AS80" s="391">
        <f t="shared" si="58"/>
        <v>31686.199999999997</v>
      </c>
      <c r="AT80" s="392">
        <f>AT79+AT54</f>
        <v>32306.600000000002</v>
      </c>
      <c r="AU80" s="390">
        <f t="shared" ref="AU80" si="59">AU79+AU54</f>
        <v>32810.600000000006</v>
      </c>
      <c r="AV80" s="391">
        <f>AV79+AV54</f>
        <v>34698.6</v>
      </c>
      <c r="AW80" s="391">
        <f t="shared" ref="AW80:AZ80" si="60">AW79+AW54</f>
        <v>36772.300000000003</v>
      </c>
      <c r="AX80" s="392">
        <f t="shared" si="60"/>
        <v>37176.699999999997</v>
      </c>
      <c r="AY80" s="390">
        <f t="shared" si="60"/>
        <v>36560.5</v>
      </c>
      <c r="AZ80" s="391">
        <f t="shared" si="60"/>
        <v>36777.100000000006</v>
      </c>
      <c r="BA80" s="391"/>
      <c r="BB80" s="392"/>
      <c r="BC80" s="839"/>
      <c r="BD80" s="959"/>
      <c r="BE80" s="842"/>
    </row>
    <row r="81" spans="1:50" s="7" customFormat="1">
      <c r="A81" s="28"/>
      <c r="B81" s="124"/>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s="7" customFormat="1">
      <c r="A82" s="28"/>
      <c r="B82" s="124"/>
      <c r="Z82" s="5"/>
      <c r="AA82" s="5"/>
      <c r="AB82" s="5"/>
      <c r="AC82" s="5"/>
      <c r="AD82" s="5"/>
      <c r="AE82" s="5"/>
      <c r="AF82" s="5"/>
      <c r="AG82" s="5"/>
      <c r="AH82" s="5"/>
      <c r="AI82" s="5"/>
      <c r="AJ82" s="5"/>
      <c r="AK82" s="5"/>
      <c r="AL82" s="5"/>
      <c r="AM82" s="5"/>
      <c r="AN82" s="5"/>
      <c r="AO82" s="5"/>
      <c r="AP82" s="5"/>
      <c r="AQ82" s="5"/>
      <c r="AR82" s="5"/>
      <c r="AS82" s="748"/>
      <c r="AT82" s="5"/>
      <c r="AU82" s="5"/>
      <c r="AV82" s="5"/>
      <c r="AW82" s="748"/>
      <c r="AX82" s="5"/>
    </row>
    <row r="83" spans="1:50" s="179" customFormat="1" ht="30.75" customHeight="1">
      <c r="A83" s="182" t="s">
        <v>266</v>
      </c>
      <c r="B83" s="177" t="s">
        <v>267</v>
      </c>
      <c r="C83" s="178"/>
      <c r="D83" s="178"/>
      <c r="E83" s="178"/>
      <c r="F83" s="178"/>
      <c r="G83" s="178"/>
      <c r="H83" s="178"/>
      <c r="I83" s="178"/>
      <c r="J83" s="178"/>
      <c r="K83" s="178"/>
      <c r="L83" s="178"/>
      <c r="M83" s="178"/>
      <c r="N83" s="178"/>
      <c r="O83" s="178"/>
      <c r="P83" s="178"/>
      <c r="Q83" s="178"/>
      <c r="R83" s="178"/>
      <c r="Z83" s="222"/>
      <c r="AA83" s="222"/>
      <c r="AB83" s="222"/>
      <c r="AC83" s="222"/>
      <c r="AD83" s="222"/>
      <c r="AE83" s="222"/>
      <c r="AF83" s="222"/>
      <c r="AG83" s="222"/>
      <c r="AH83" s="222"/>
      <c r="AI83" s="222"/>
      <c r="AJ83" s="222"/>
      <c r="AK83" s="222"/>
      <c r="AL83" s="222"/>
      <c r="AM83" s="222"/>
      <c r="AN83" s="222"/>
      <c r="AO83" s="222"/>
      <c r="AP83" s="222"/>
      <c r="AQ83" s="222"/>
      <c r="AR83" s="222"/>
      <c r="AS83" s="222"/>
      <c r="AT83" s="774"/>
      <c r="AU83" s="222"/>
      <c r="AV83" s="222"/>
      <c r="AW83" s="222"/>
      <c r="AX83" s="774"/>
    </row>
    <row r="84" spans="1:50" s="179" customFormat="1" ht="44.25" customHeight="1">
      <c r="A84" s="182" t="s">
        <v>268</v>
      </c>
      <c r="B84" s="177" t="s">
        <v>269</v>
      </c>
      <c r="C84" s="178"/>
      <c r="D84" s="178"/>
      <c r="E84" s="178"/>
      <c r="F84" s="178"/>
      <c r="G84" s="178"/>
      <c r="H84" s="178"/>
      <c r="I84" s="178"/>
      <c r="J84" s="178"/>
      <c r="K84" s="178"/>
      <c r="L84" s="178"/>
      <c r="M84" s="178"/>
      <c r="N84" s="178"/>
      <c r="O84" s="178"/>
      <c r="P84" s="178"/>
      <c r="Q84" s="178"/>
      <c r="R84" s="178"/>
    </row>
    <row r="85" spans="1:50" s="179" customFormat="1" ht="66.75" customHeight="1">
      <c r="A85" s="182" t="s">
        <v>270</v>
      </c>
      <c r="B85" s="180" t="s">
        <v>271</v>
      </c>
      <c r="C85" s="181"/>
      <c r="D85" s="181"/>
      <c r="E85" s="181"/>
      <c r="F85" s="181"/>
      <c r="G85" s="181"/>
      <c r="H85" s="181"/>
      <c r="I85" s="181"/>
      <c r="J85" s="181"/>
      <c r="K85" s="181"/>
      <c r="L85" s="181"/>
      <c r="M85" s="181"/>
      <c r="N85" s="181"/>
      <c r="O85" s="181"/>
      <c r="P85" s="181"/>
      <c r="Q85" s="181"/>
      <c r="R85" s="181"/>
    </row>
    <row r="86" spans="1:50" s="179" customFormat="1" ht="110.25" customHeight="1">
      <c r="A86" s="184" t="s">
        <v>272</v>
      </c>
      <c r="B86" s="183" t="s">
        <v>273</v>
      </c>
    </row>
    <row r="87" spans="1:50" s="7" customFormat="1" ht="57.75" customHeight="1">
      <c r="A87" s="134" t="s">
        <v>274</v>
      </c>
      <c r="B87" s="134" t="s">
        <v>275</v>
      </c>
    </row>
    <row r="88" spans="1:50" s="7" customFormat="1" ht="71.25" customHeight="1">
      <c r="A88" s="134" t="s">
        <v>276</v>
      </c>
      <c r="B88" s="134" t="s">
        <v>277</v>
      </c>
    </row>
    <row r="89" spans="1:50" ht="42" customHeight="1">
      <c r="A89" s="134" t="s">
        <v>278</v>
      </c>
      <c r="B89" s="177" t="s">
        <v>279</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3">
    <mergeCell ref="AY2:BB2"/>
    <mergeCell ref="AU2:AX2"/>
    <mergeCell ref="AQ2:AT2"/>
    <mergeCell ref="AM2:AP2"/>
    <mergeCell ref="C2:F2"/>
    <mergeCell ref="G2:J2"/>
    <mergeCell ref="K2:N2"/>
    <mergeCell ref="O2:R2"/>
    <mergeCell ref="AI2:AL2"/>
    <mergeCell ref="AE2:AH2"/>
    <mergeCell ref="AA2:AD2"/>
    <mergeCell ref="W2:Z2"/>
    <mergeCell ref="S2:V2"/>
  </mergeCells>
  <phoneticPr fontId="10" type="noConversion"/>
  <conditionalFormatting sqref="BD5:BD80">
    <cfRule type="containsText" dxfId="2" priority="1" operator="containsText" text="PRAWDA">
      <formula>NOT(ISERROR(SEARCH("PRAWDA",BD5)))</formula>
    </cfRule>
    <cfRule type="containsText" dxfId="1" priority="2" operator="containsText" text="FAŁSZ">
      <formula>NOT(ISERROR(SEARCH("FAŁSZ",BD5)))</formula>
    </cfRule>
    <cfRule type="cellIs" dxfId="0" priority="3" operator="equal">
      <formula>"""FAŁSZ"""</formula>
    </cfRule>
  </conditionalFormatting>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5 I35 D35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58"/>
  <sheetViews>
    <sheetView showGridLines="0" zoomScale="70" zoomScaleNormal="70" zoomScaleSheetLayoutView="110" workbookViewId="0">
      <pane xSplit="1" ySplit="4" topLeftCell="AZ44" activePane="bottomRight" state="frozen"/>
      <selection pane="topRight" activeCell="B1" sqref="B1"/>
      <selection pane="bottomLeft" activeCell="A5" sqref="A5"/>
      <selection pane="bottomRight" activeCell="B3" sqref="B3"/>
    </sheetView>
  </sheetViews>
  <sheetFormatPr defaultColWidth="9" defaultRowHeight="13" outlineLevelCol="1"/>
  <cols>
    <col min="1" max="1" width="45.58203125" style="134" customWidth="1"/>
    <col min="2" max="2" width="47.9140625" style="134" customWidth="1"/>
    <col min="3" max="3" width="13.08203125" style="4" hidden="1" customWidth="1" outlineLevel="1"/>
    <col min="4" max="5" width="13" style="4" hidden="1" customWidth="1" outlineLevel="1"/>
    <col min="6" max="6" width="12.5" style="4" hidden="1" customWidth="1" outlineLevel="1"/>
    <col min="7" max="7" width="13" style="4" hidden="1" customWidth="1" outlineLevel="1"/>
    <col min="8" max="9" width="12.9140625" style="4" hidden="1" customWidth="1" outlineLevel="1"/>
    <col min="10" max="10" width="12.5" style="4" hidden="1" customWidth="1" outlineLevel="1"/>
    <col min="11" max="12" width="13" style="4" hidden="1" customWidth="1" outlineLevel="1"/>
    <col min="13" max="13" width="12.9140625" style="4" hidden="1" customWidth="1" outlineLevel="1"/>
    <col min="14" max="14" width="12.5" style="4" hidden="1" customWidth="1" outlineLevel="1"/>
    <col min="15" max="29" width="13" style="4" hidden="1" customWidth="1" outlineLevel="1"/>
    <col min="30" max="30" width="14.08203125" style="4" hidden="1" customWidth="1" outlineLevel="1"/>
    <col min="31" max="34" width="13" style="6" hidden="1" customWidth="1" outlineLevel="1"/>
    <col min="35" max="35" width="13.08203125" style="6" customWidth="1" collapsed="1"/>
    <col min="36" max="54" width="13.08203125" style="6" customWidth="1"/>
    <col min="55" max="58" width="13.08203125" style="4" customWidth="1"/>
    <col min="59"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321" t="s">
        <v>280</v>
      </c>
      <c r="B2" s="668" t="s">
        <v>281</v>
      </c>
      <c r="C2" s="993">
        <v>2012</v>
      </c>
      <c r="D2" s="993"/>
      <c r="E2" s="993"/>
      <c r="F2" s="993"/>
      <c r="G2" s="996">
        <v>2013</v>
      </c>
      <c r="H2" s="993"/>
      <c r="I2" s="993"/>
      <c r="J2" s="997"/>
      <c r="K2" s="993">
        <v>2014</v>
      </c>
      <c r="L2" s="993"/>
      <c r="M2" s="993"/>
      <c r="N2" s="993"/>
      <c r="O2" s="996">
        <v>2015</v>
      </c>
      <c r="P2" s="993"/>
      <c r="Q2" s="993"/>
      <c r="R2" s="997"/>
      <c r="S2" s="993">
        <v>2016</v>
      </c>
      <c r="T2" s="993"/>
      <c r="U2" s="993"/>
      <c r="V2" s="993"/>
      <c r="W2" s="996" t="s">
        <v>282</v>
      </c>
      <c r="X2" s="993"/>
      <c r="Y2" s="993"/>
      <c r="Z2" s="997"/>
      <c r="AA2" s="993" t="s">
        <v>283</v>
      </c>
      <c r="AB2" s="994"/>
      <c r="AC2" s="994"/>
      <c r="AD2" s="994"/>
      <c r="AE2" s="996" t="s">
        <v>284</v>
      </c>
      <c r="AF2" s="994"/>
      <c r="AG2" s="994"/>
      <c r="AH2" s="995"/>
      <c r="AI2" s="993" t="s">
        <v>285</v>
      </c>
      <c r="AJ2" s="993"/>
      <c r="AK2" s="993"/>
      <c r="AL2" s="993"/>
      <c r="AM2" s="996">
        <v>2020</v>
      </c>
      <c r="AN2" s="994"/>
      <c r="AO2" s="994"/>
      <c r="AP2" s="995"/>
      <c r="AQ2" s="993">
        <v>2021</v>
      </c>
      <c r="AR2" s="994"/>
      <c r="AS2" s="994"/>
      <c r="AT2" s="995"/>
      <c r="AU2" s="993">
        <v>2022</v>
      </c>
      <c r="AV2" s="994"/>
      <c r="AW2" s="994"/>
      <c r="AX2" s="995"/>
      <c r="AY2" s="993">
        <v>2023</v>
      </c>
      <c r="AZ2" s="994"/>
      <c r="BA2" s="994"/>
      <c r="BB2" s="995"/>
      <c r="BC2" s="993">
        <v>2024</v>
      </c>
      <c r="BD2" s="994"/>
      <c r="BE2" s="994"/>
      <c r="BF2" s="995"/>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5" customHeight="1">
      <c r="A3" s="321" t="s">
        <v>21</v>
      </c>
      <c r="B3" s="668" t="s">
        <v>21</v>
      </c>
      <c r="C3" s="479" t="s">
        <v>286</v>
      </c>
      <c r="D3" s="479" t="s">
        <v>287</v>
      </c>
      <c r="E3" s="479" t="s">
        <v>288</v>
      </c>
      <c r="F3" s="479" t="s">
        <v>289</v>
      </c>
      <c r="G3" s="647" t="s">
        <v>286</v>
      </c>
      <c r="H3" s="479" t="s">
        <v>287</v>
      </c>
      <c r="I3" s="479" t="s">
        <v>288</v>
      </c>
      <c r="J3" s="648" t="s">
        <v>289</v>
      </c>
      <c r="K3" s="479" t="s">
        <v>286</v>
      </c>
      <c r="L3" s="479" t="s">
        <v>287</v>
      </c>
      <c r="M3" s="479" t="s">
        <v>288</v>
      </c>
      <c r="N3" s="479" t="s">
        <v>289</v>
      </c>
      <c r="O3" s="647" t="s">
        <v>286</v>
      </c>
      <c r="P3" s="479" t="s">
        <v>287</v>
      </c>
      <c r="Q3" s="479" t="s">
        <v>288</v>
      </c>
      <c r="R3" s="648" t="s">
        <v>289</v>
      </c>
      <c r="S3" s="479" t="s">
        <v>286</v>
      </c>
      <c r="T3" s="479" t="s">
        <v>287</v>
      </c>
      <c r="U3" s="479" t="s">
        <v>288</v>
      </c>
      <c r="V3" s="479" t="s">
        <v>289</v>
      </c>
      <c r="W3" s="647" t="s">
        <v>286</v>
      </c>
      <c r="X3" s="479" t="s">
        <v>287</v>
      </c>
      <c r="Y3" s="479" t="s">
        <v>288</v>
      </c>
      <c r="Z3" s="648" t="s">
        <v>289</v>
      </c>
      <c r="AA3" s="479" t="s">
        <v>286</v>
      </c>
      <c r="AB3" s="479" t="s">
        <v>287</v>
      </c>
      <c r="AC3" s="479" t="s">
        <v>288</v>
      </c>
      <c r="AD3" s="479" t="s">
        <v>289</v>
      </c>
      <c r="AE3" s="647" t="s">
        <v>286</v>
      </c>
      <c r="AF3" s="479" t="s">
        <v>287</v>
      </c>
      <c r="AG3" s="479" t="s">
        <v>288</v>
      </c>
      <c r="AH3" s="648" t="s">
        <v>289</v>
      </c>
      <c r="AI3" s="479" t="s">
        <v>286</v>
      </c>
      <c r="AJ3" s="479" t="s">
        <v>287</v>
      </c>
      <c r="AK3" s="479" t="s">
        <v>288</v>
      </c>
      <c r="AL3" s="479" t="s">
        <v>289</v>
      </c>
      <c r="AM3" s="647" t="s">
        <v>286</v>
      </c>
      <c r="AN3" s="479" t="s">
        <v>287</v>
      </c>
      <c r="AO3" s="479" t="s">
        <v>288</v>
      </c>
      <c r="AP3" s="648" t="s">
        <v>289</v>
      </c>
      <c r="AQ3" s="479" t="s">
        <v>286</v>
      </c>
      <c r="AR3" s="479" t="s">
        <v>287</v>
      </c>
      <c r="AS3" s="479" t="s">
        <v>288</v>
      </c>
      <c r="AT3" s="648" t="s">
        <v>289</v>
      </c>
      <c r="AU3" s="479" t="s">
        <v>286</v>
      </c>
      <c r="AV3" s="479" t="s">
        <v>287</v>
      </c>
      <c r="AW3" s="479" t="s">
        <v>288</v>
      </c>
      <c r="AX3" s="648" t="s">
        <v>289</v>
      </c>
      <c r="AY3" s="479" t="str">
        <f>AU3</f>
        <v>3 miesiące 
do 31 marca</v>
      </c>
      <c r="AZ3" s="479" t="s">
        <v>287</v>
      </c>
      <c r="BA3" s="479" t="s">
        <v>288</v>
      </c>
      <c r="BB3" s="648" t="s">
        <v>289</v>
      </c>
      <c r="BC3" s="479" t="str">
        <f>AY3</f>
        <v>3 miesiące 
do 31 marca</v>
      </c>
      <c r="BD3" s="479" t="s">
        <v>287</v>
      </c>
      <c r="BE3" s="479" t="s">
        <v>288</v>
      </c>
      <c r="BF3" s="648" t="s">
        <v>289</v>
      </c>
    </row>
    <row r="4" spans="1:483" s="483" customFormat="1" ht="40.25" customHeight="1" thickBot="1">
      <c r="A4" s="481"/>
      <c r="B4" s="669"/>
      <c r="C4" s="482" t="s">
        <v>290</v>
      </c>
      <c r="D4" s="482" t="s">
        <v>291</v>
      </c>
      <c r="E4" s="482" t="s">
        <v>292</v>
      </c>
      <c r="F4" s="482" t="s">
        <v>293</v>
      </c>
      <c r="G4" s="649" t="s">
        <v>290</v>
      </c>
      <c r="H4" s="482" t="s">
        <v>291</v>
      </c>
      <c r="I4" s="482" t="s">
        <v>292</v>
      </c>
      <c r="J4" s="650" t="s">
        <v>293</v>
      </c>
      <c r="K4" s="482" t="s">
        <v>290</v>
      </c>
      <c r="L4" s="482" t="s">
        <v>291</v>
      </c>
      <c r="M4" s="482" t="s">
        <v>292</v>
      </c>
      <c r="N4" s="482" t="s">
        <v>293</v>
      </c>
      <c r="O4" s="649" t="s">
        <v>290</v>
      </c>
      <c r="P4" s="482" t="s">
        <v>291</v>
      </c>
      <c r="Q4" s="482" t="s">
        <v>292</v>
      </c>
      <c r="R4" s="650" t="s">
        <v>293</v>
      </c>
      <c r="S4" s="482" t="s">
        <v>290</v>
      </c>
      <c r="T4" s="482" t="s">
        <v>291</v>
      </c>
      <c r="U4" s="482" t="s">
        <v>292</v>
      </c>
      <c r="V4" s="482" t="s">
        <v>293</v>
      </c>
      <c r="W4" s="649" t="s">
        <v>290</v>
      </c>
      <c r="X4" s="482" t="s">
        <v>291</v>
      </c>
      <c r="Y4" s="482" t="s">
        <v>292</v>
      </c>
      <c r="Z4" s="650" t="s">
        <v>293</v>
      </c>
      <c r="AA4" s="482" t="s">
        <v>290</v>
      </c>
      <c r="AB4" s="482" t="s">
        <v>291</v>
      </c>
      <c r="AC4" s="482" t="s">
        <v>292</v>
      </c>
      <c r="AD4" s="482" t="s">
        <v>293</v>
      </c>
      <c r="AE4" s="649" t="s">
        <v>290</v>
      </c>
      <c r="AF4" s="482" t="s">
        <v>291</v>
      </c>
      <c r="AG4" s="482" t="s">
        <v>292</v>
      </c>
      <c r="AH4" s="650" t="s">
        <v>293</v>
      </c>
      <c r="AI4" s="482" t="s">
        <v>290</v>
      </c>
      <c r="AJ4" s="482" t="s">
        <v>291</v>
      </c>
      <c r="AK4" s="482" t="s">
        <v>292</v>
      </c>
      <c r="AL4" s="482" t="s">
        <v>293</v>
      </c>
      <c r="AM4" s="649" t="s">
        <v>290</v>
      </c>
      <c r="AN4" s="482" t="s">
        <v>291</v>
      </c>
      <c r="AO4" s="482" t="s">
        <v>292</v>
      </c>
      <c r="AP4" s="650" t="s">
        <v>293</v>
      </c>
      <c r="AQ4" s="482" t="s">
        <v>290</v>
      </c>
      <c r="AR4" s="482" t="s">
        <v>291</v>
      </c>
      <c r="AS4" s="482" t="s">
        <v>292</v>
      </c>
      <c r="AT4" s="650" t="s">
        <v>293</v>
      </c>
      <c r="AU4" s="482" t="s">
        <v>290</v>
      </c>
      <c r="AV4" s="482" t="s">
        <v>291</v>
      </c>
      <c r="AW4" s="482" t="s">
        <v>292</v>
      </c>
      <c r="AX4" s="650" t="s">
        <v>293</v>
      </c>
      <c r="AY4" s="482" t="s">
        <v>290</v>
      </c>
      <c r="AZ4" s="482" t="s">
        <v>291</v>
      </c>
      <c r="BA4" s="482" t="s">
        <v>292</v>
      </c>
      <c r="BB4" s="650" t="s">
        <v>293</v>
      </c>
      <c r="BC4" s="482" t="s">
        <v>290</v>
      </c>
      <c r="BD4" s="482" t="s">
        <v>291</v>
      </c>
      <c r="BE4" s="482" t="s">
        <v>292</v>
      </c>
      <c r="BF4" s="650" t="s">
        <v>293</v>
      </c>
      <c r="BG4" s="931"/>
      <c r="BH4" s="931"/>
      <c r="BI4" s="931"/>
    </row>
    <row r="5" spans="1:483" ht="20.149999999999999" customHeight="1" thickBot="1">
      <c r="A5" s="480" t="s">
        <v>294</v>
      </c>
      <c r="B5" s="670" t="s">
        <v>295</v>
      </c>
      <c r="C5" s="93">
        <v>205.10900000000001</v>
      </c>
      <c r="D5" s="93">
        <v>304.61200000000002</v>
      </c>
      <c r="E5" s="93">
        <v>476.67400000000004</v>
      </c>
      <c r="F5" s="93">
        <v>598.298</v>
      </c>
      <c r="G5" s="651">
        <v>95.105000000000004</v>
      </c>
      <c r="H5" s="93">
        <v>175.85</v>
      </c>
      <c r="I5" s="93">
        <v>352.30099999999999</v>
      </c>
      <c r="J5" s="652">
        <v>525.44500000000005</v>
      </c>
      <c r="K5" s="93">
        <v>98.171999999999997</v>
      </c>
      <c r="L5" s="93">
        <f>'P&amp;L'!M32+'P&amp;L'!N32</f>
        <v>230.29999999999967</v>
      </c>
      <c r="M5" s="93">
        <v>278.5</v>
      </c>
      <c r="N5" s="93">
        <v>292.5</v>
      </c>
      <c r="O5" s="651">
        <v>170.8</v>
      </c>
      <c r="P5" s="93">
        <v>475.29999999999984</v>
      </c>
      <c r="Q5" s="93">
        <f>SUM('P&amp;L'!R32:T32)</f>
        <v>977.7999999999995</v>
      </c>
      <c r="R5" s="652">
        <f>SUM('P&amp;L'!V32)</f>
        <v>1163.3999999999994</v>
      </c>
      <c r="S5" s="93">
        <f>'P&amp;L'!W32</f>
        <v>178.50000000000006</v>
      </c>
      <c r="T5" s="93">
        <f>'P&amp;L'!W32+'P&amp;L'!X32</f>
        <v>409.4000000000002</v>
      </c>
      <c r="U5" s="93">
        <f>T5+'P&amp;L'!Y32</f>
        <v>679.20000000000061</v>
      </c>
      <c r="V5" s="93">
        <f>'P&amp;L'!AA32</f>
        <v>1021.0000000000001</v>
      </c>
      <c r="W5" s="651">
        <v>271.40000000000032</v>
      </c>
      <c r="X5" s="93">
        <v>553.10000000000025</v>
      </c>
      <c r="Y5" s="93">
        <v>788</v>
      </c>
      <c r="Z5" s="652">
        <v>945.2</v>
      </c>
      <c r="AA5" s="93">
        <v>292.2</v>
      </c>
      <c r="AB5" s="93">
        <v>523.6</v>
      </c>
      <c r="AC5" s="93">
        <v>750.7</v>
      </c>
      <c r="AD5" s="93">
        <v>816.1</v>
      </c>
      <c r="AE5" s="651">
        <v>300.8</v>
      </c>
      <c r="AF5" s="93">
        <v>570.9</v>
      </c>
      <c r="AG5" s="93">
        <v>817.9</v>
      </c>
      <c r="AH5" s="652">
        <v>1126.3</v>
      </c>
      <c r="AI5" s="93">
        <v>297.3</v>
      </c>
      <c r="AJ5" s="93">
        <v>566.20000000000005</v>
      </c>
      <c r="AK5" s="93">
        <v>802.7</v>
      </c>
      <c r="AL5" s="93">
        <v>1114.5999999999999</v>
      </c>
      <c r="AM5" s="651">
        <f>'P&amp;L'!BB32</f>
        <v>183.78882651999987</v>
      </c>
      <c r="AN5" s="93">
        <v>474.5</v>
      </c>
      <c r="AO5" s="93">
        <v>819.5</v>
      </c>
      <c r="AP5" s="652">
        <v>1146.2</v>
      </c>
      <c r="AQ5" s="93">
        <f>'P&amp;L'!BG32</f>
        <v>390.4</v>
      </c>
      <c r="AR5" s="93">
        <f>'P&amp;L'!BH32+AQ5</f>
        <v>932.09999999999991</v>
      </c>
      <c r="AS5" s="93">
        <f>'P&amp;L'!BI32+AR5</f>
        <v>4080.8000000000006</v>
      </c>
      <c r="AT5" s="652">
        <f>'P&amp;L'!BK32</f>
        <v>4414.4999999999982</v>
      </c>
      <c r="AU5" s="93">
        <f>'P&amp;L'!BL32</f>
        <v>212.79999999999995</v>
      </c>
      <c r="AV5" s="765">
        <f>SUM('P&amp;L'!BL32:BM32)</f>
        <v>495.49999999999977</v>
      </c>
      <c r="AW5" s="765">
        <f>SUM('P&amp;L'!BL32:BN32)</f>
        <v>726.60000000000059</v>
      </c>
      <c r="AX5" s="783">
        <f>'P&amp;L'!BP32</f>
        <v>901.10000000000014</v>
      </c>
      <c r="AY5" s="93">
        <f>'P&amp;L'!BQ32</f>
        <v>71.000000000000583</v>
      </c>
      <c r="AZ5" s="765">
        <v>79.099999999999994</v>
      </c>
      <c r="BA5" s="765">
        <v>181.3</v>
      </c>
      <c r="BB5" s="783">
        <v>311.60000000000002</v>
      </c>
      <c r="BC5" s="93">
        <v>184.3</v>
      </c>
      <c r="BD5" s="765">
        <v>359.8</v>
      </c>
      <c r="BE5" s="765"/>
      <c r="BF5" s="783"/>
      <c r="BH5" s="233"/>
    </row>
    <row r="6" spans="1:483" ht="20.149999999999999" customHeight="1" thickBot="1">
      <c r="A6" s="386" t="s">
        <v>296</v>
      </c>
      <c r="B6" s="671" t="s">
        <v>297</v>
      </c>
      <c r="C6" s="387">
        <f t="shared" ref="C6:AB6" si="0">SUM(C7:C35)</f>
        <v>27.58799999999999</v>
      </c>
      <c r="D6" s="387">
        <f t="shared" si="0"/>
        <v>110.99899999999997</v>
      </c>
      <c r="E6" s="387">
        <f t="shared" si="0"/>
        <v>152.09600000000003</v>
      </c>
      <c r="F6" s="388">
        <f t="shared" si="0"/>
        <v>244.9200000000001</v>
      </c>
      <c r="G6" s="653">
        <f t="shared" si="0"/>
        <v>70.556999999999988</v>
      </c>
      <c r="H6" s="388">
        <f t="shared" si="0"/>
        <v>176.07799999999997</v>
      </c>
      <c r="I6" s="388">
        <f t="shared" si="0"/>
        <v>195.94299999999996</v>
      </c>
      <c r="J6" s="654">
        <f t="shared" si="0"/>
        <v>334.28999999999991</v>
      </c>
      <c r="K6" s="388">
        <f t="shared" si="0"/>
        <v>86.532000000000011</v>
      </c>
      <c r="L6" s="388">
        <f t="shared" si="0"/>
        <v>505.40000000000015</v>
      </c>
      <c r="M6" s="388">
        <f t="shared" si="0"/>
        <v>1145.4000000000003</v>
      </c>
      <c r="N6" s="388">
        <f t="shared" si="0"/>
        <v>1825.2999999999997</v>
      </c>
      <c r="O6" s="653">
        <f t="shared" si="0"/>
        <v>282.2000000000001</v>
      </c>
      <c r="P6" s="388">
        <f t="shared" si="0"/>
        <v>852.69999999999982</v>
      </c>
      <c r="Q6" s="388">
        <f t="shared" si="0"/>
        <v>1195.6999999999994</v>
      </c>
      <c r="R6" s="654">
        <f t="shared" si="0"/>
        <v>1821.6999999999998</v>
      </c>
      <c r="S6" s="388">
        <f t="shared" si="0"/>
        <v>405.9</v>
      </c>
      <c r="T6" s="388">
        <f t="shared" si="0"/>
        <v>1140</v>
      </c>
      <c r="U6" s="388">
        <f t="shared" si="0"/>
        <v>1678.3000000000002</v>
      </c>
      <c r="V6" s="388">
        <f t="shared" si="0"/>
        <v>2130.5</v>
      </c>
      <c r="W6" s="653">
        <f t="shared" si="0"/>
        <v>509.29999999999995</v>
      </c>
      <c r="X6" s="388">
        <f t="shared" si="0"/>
        <v>1062.8</v>
      </c>
      <c r="Y6" s="388">
        <f t="shared" si="0"/>
        <v>1457.6999999999998</v>
      </c>
      <c r="Z6" s="654">
        <f t="shared" si="0"/>
        <v>2181.1000000000004</v>
      </c>
      <c r="AA6" s="388">
        <f t="shared" si="0"/>
        <v>340.90000000000009</v>
      </c>
      <c r="AB6" s="388">
        <f t="shared" si="0"/>
        <v>873.30000000000007</v>
      </c>
      <c r="AC6" s="388">
        <v>1470.1</v>
      </c>
      <c r="AD6" s="388">
        <f t="shared" ref="AD6:BC6" si="1">SUM(AD7:AD35)</f>
        <v>2416</v>
      </c>
      <c r="AE6" s="653">
        <f t="shared" si="1"/>
        <v>402.4</v>
      </c>
      <c r="AF6" s="388">
        <f t="shared" si="1"/>
        <v>983.40000000000032</v>
      </c>
      <c r="AG6" s="388">
        <f t="shared" si="1"/>
        <v>1588.9000000000003</v>
      </c>
      <c r="AH6" s="654">
        <f t="shared" si="1"/>
        <v>2265.5</v>
      </c>
      <c r="AI6" s="388">
        <f t="shared" si="1"/>
        <v>464.9</v>
      </c>
      <c r="AJ6" s="388">
        <f t="shared" si="1"/>
        <v>1143.1000000000001</v>
      </c>
      <c r="AK6" s="388">
        <f t="shared" si="1"/>
        <v>1857.2000000000003</v>
      </c>
      <c r="AL6" s="388">
        <f t="shared" si="1"/>
        <v>2663.2999999999997</v>
      </c>
      <c r="AM6" s="653">
        <f t="shared" si="1"/>
        <v>677.20000000000016</v>
      </c>
      <c r="AN6" s="388">
        <f t="shared" si="1"/>
        <v>1232.3000000000004</v>
      </c>
      <c r="AO6" s="388">
        <f t="shared" si="1"/>
        <v>1835.7999999999997</v>
      </c>
      <c r="AP6" s="654">
        <f t="shared" si="1"/>
        <v>2651.7</v>
      </c>
      <c r="AQ6" s="388">
        <f t="shared" si="1"/>
        <v>603.90000000000009</v>
      </c>
      <c r="AR6" s="388">
        <f t="shared" si="1"/>
        <v>953.8</v>
      </c>
      <c r="AS6" s="388">
        <f t="shared" si="1"/>
        <v>-1284.9999999999998</v>
      </c>
      <c r="AT6" s="654">
        <f t="shared" si="1"/>
        <v>-724.80000000000007</v>
      </c>
      <c r="AU6" s="388">
        <f t="shared" si="1"/>
        <v>454.00000000000011</v>
      </c>
      <c r="AV6" s="766">
        <f t="shared" si="1"/>
        <v>997.8</v>
      </c>
      <c r="AW6" s="388">
        <f t="shared" si="1"/>
        <v>1492.8</v>
      </c>
      <c r="AX6" s="783">
        <f t="shared" si="1"/>
        <v>2072.4</v>
      </c>
      <c r="AY6" s="388">
        <f t="shared" si="1"/>
        <v>284.7000000000001</v>
      </c>
      <c r="AZ6" s="766">
        <f t="shared" si="1"/>
        <v>1311.7999999999993</v>
      </c>
      <c r="BA6" s="766">
        <f>SUM(BA7:BA35)</f>
        <v>1483.7999999999995</v>
      </c>
      <c r="BB6" s="783">
        <f t="shared" si="1"/>
        <v>2316.5999999999995</v>
      </c>
      <c r="BC6" s="388">
        <f t="shared" si="1"/>
        <v>616.20000000000005</v>
      </c>
      <c r="BD6" s="766">
        <f>SUM(BD7:BD35)</f>
        <v>1158.8000000000002</v>
      </c>
      <c r="BE6" s="766"/>
      <c r="BF6" s="783"/>
      <c r="BG6" s="932"/>
      <c r="BH6" s="233"/>
      <c r="BI6" s="933"/>
    </row>
    <row r="7" spans="1:483" ht="20.149999999999999" customHeight="1">
      <c r="A7" s="70" t="s">
        <v>50</v>
      </c>
      <c r="B7" s="672" t="s">
        <v>51</v>
      </c>
      <c r="C7" s="68">
        <v>54.433</v>
      </c>
      <c r="D7" s="68">
        <v>111.117</v>
      </c>
      <c r="E7" s="68">
        <v>171.35499999999999</v>
      </c>
      <c r="F7" s="68">
        <v>243.066</v>
      </c>
      <c r="G7" s="655">
        <v>60.698</v>
      </c>
      <c r="H7" s="68">
        <v>122.961</v>
      </c>
      <c r="I7" s="68">
        <v>187.82599999999999</v>
      </c>
      <c r="J7" s="656">
        <v>256.416</v>
      </c>
      <c r="K7" s="68">
        <v>62.434000000000005</v>
      </c>
      <c r="L7" s="68">
        <v>373.8</v>
      </c>
      <c r="M7" s="68">
        <v>852.1</v>
      </c>
      <c r="N7" s="68">
        <v>1295.9000000000001</v>
      </c>
      <c r="O7" s="655">
        <v>467.9</v>
      </c>
      <c r="P7" s="68">
        <v>861.4</v>
      </c>
      <c r="Q7" s="68">
        <v>1262.5999999999999</v>
      </c>
      <c r="R7" s="656">
        <v>1699.3</v>
      </c>
      <c r="S7" s="68">
        <v>423.7</v>
      </c>
      <c r="T7" s="68">
        <v>951.2</v>
      </c>
      <c r="U7" s="68">
        <v>1459.1</v>
      </c>
      <c r="V7" s="68">
        <v>1971.5</v>
      </c>
      <c r="W7" s="655">
        <v>472.3</v>
      </c>
      <c r="X7" s="68">
        <v>919</v>
      </c>
      <c r="Y7" s="68">
        <v>1348.2</v>
      </c>
      <c r="Z7" s="656">
        <v>1783</v>
      </c>
      <c r="AA7" s="68">
        <v>454.5</v>
      </c>
      <c r="AB7" s="68">
        <v>925.3</v>
      </c>
      <c r="AC7" s="68">
        <v>1448.8</v>
      </c>
      <c r="AD7" s="68">
        <v>1970.7</v>
      </c>
      <c r="AE7" s="655">
        <v>440.1</v>
      </c>
      <c r="AF7" s="68">
        <v>884.7</v>
      </c>
      <c r="AG7" s="68">
        <v>1333.2</v>
      </c>
      <c r="AH7" s="656">
        <v>1786.4</v>
      </c>
      <c r="AI7" s="68">
        <v>547.1</v>
      </c>
      <c r="AJ7" s="68">
        <v>1100.7</v>
      </c>
      <c r="AK7" s="68">
        <v>1662.2</v>
      </c>
      <c r="AL7" s="68">
        <v>2229.6999999999998</v>
      </c>
      <c r="AM7" s="655">
        <v>564.5</v>
      </c>
      <c r="AN7" s="68">
        <v>1130.4000000000001</v>
      </c>
      <c r="AO7" s="68">
        <v>1703.4</v>
      </c>
      <c r="AP7" s="656">
        <v>2305.6999999999998</v>
      </c>
      <c r="AQ7" s="68">
        <v>521.20000000000005</v>
      </c>
      <c r="AR7" s="68">
        <v>978.4</v>
      </c>
      <c r="AS7" s="68">
        <v>1442</v>
      </c>
      <c r="AT7" s="656">
        <v>1903.2</v>
      </c>
      <c r="AU7" s="68">
        <v>446.3</v>
      </c>
      <c r="AV7" s="259">
        <v>913.8</v>
      </c>
      <c r="AW7" s="771">
        <v>1365.9</v>
      </c>
      <c r="AX7" s="656">
        <v>1829</v>
      </c>
      <c r="AY7" s="68">
        <v>462.5</v>
      </c>
      <c r="AZ7" s="847">
        <v>931.2</v>
      </c>
      <c r="BA7" s="847">
        <v>1415.1</v>
      </c>
      <c r="BB7" s="656">
        <v>1919.6</v>
      </c>
      <c r="BC7" s="68">
        <v>493.6</v>
      </c>
      <c r="BD7" s="847">
        <v>962.6</v>
      </c>
      <c r="BE7" s="847"/>
      <c r="BF7" s="656"/>
      <c r="BG7" s="934"/>
      <c r="BH7" s="233"/>
      <c r="BI7" s="540"/>
    </row>
    <row r="8" spans="1:483" ht="20.149999999999999" customHeight="1">
      <c r="A8" s="70" t="s">
        <v>298</v>
      </c>
      <c r="B8" s="672" t="s">
        <v>299</v>
      </c>
      <c r="C8" s="68">
        <v>-29.711000000000002</v>
      </c>
      <c r="D8" s="68">
        <v>-88.683000000000007</v>
      </c>
      <c r="E8" s="68">
        <v>-140.589</v>
      </c>
      <c r="F8" s="68">
        <v>-177.86799999999999</v>
      </c>
      <c r="G8" s="655">
        <v>-44.32</v>
      </c>
      <c r="H8" s="68">
        <v>-122.45100000000001</v>
      </c>
      <c r="I8" s="68">
        <v>-189.477</v>
      </c>
      <c r="J8" s="656">
        <v>-222.45600000000002</v>
      </c>
      <c r="K8" s="68">
        <v>-109.42100000000001</v>
      </c>
      <c r="L8" s="68">
        <v>-148.9</v>
      </c>
      <c r="M8" s="68">
        <v>-224.7</v>
      </c>
      <c r="N8" s="68">
        <v>-306.8</v>
      </c>
      <c r="O8" s="655">
        <v>-41.5</v>
      </c>
      <c r="P8" s="68">
        <v>-115.2</v>
      </c>
      <c r="Q8" s="68">
        <v>-195.4</v>
      </c>
      <c r="R8" s="656">
        <v>-238.1</v>
      </c>
      <c r="S8" s="68">
        <v>-58.1</v>
      </c>
      <c r="T8" s="68">
        <v>-119</v>
      </c>
      <c r="U8" s="68">
        <v>-189.6</v>
      </c>
      <c r="V8" s="68">
        <v>-246.5</v>
      </c>
      <c r="W8" s="655">
        <v>-33.299999999999997</v>
      </c>
      <c r="X8" s="68">
        <v>-94.2</v>
      </c>
      <c r="Y8" s="68">
        <v>-246.2</v>
      </c>
      <c r="Z8" s="656">
        <v>-305.10000000000002</v>
      </c>
      <c r="AA8" s="68">
        <v>-62.4</v>
      </c>
      <c r="AB8" s="68">
        <v>-124.7</v>
      </c>
      <c r="AC8" s="68">
        <v>-411.2</v>
      </c>
      <c r="AD8" s="68">
        <v>-363.5</v>
      </c>
      <c r="AE8" s="655">
        <v>-156.30000000000001</v>
      </c>
      <c r="AF8" s="68">
        <v>-343.1</v>
      </c>
      <c r="AG8" s="68">
        <v>-534</v>
      </c>
      <c r="AH8" s="656">
        <v>-617.29999999999995</v>
      </c>
      <c r="AI8" s="68">
        <v>-156.30000000000001</v>
      </c>
      <c r="AJ8" s="68">
        <v>-343.1</v>
      </c>
      <c r="AK8" s="68">
        <v>-534</v>
      </c>
      <c r="AL8" s="68">
        <v>-617.29999999999995</v>
      </c>
      <c r="AM8" s="655">
        <v>-160.5</v>
      </c>
      <c r="AN8" s="68">
        <v>-223.3</v>
      </c>
      <c r="AO8" s="68">
        <v>-311.39999999999998</v>
      </c>
      <c r="AP8" s="656">
        <v>-511.9</v>
      </c>
      <c r="AQ8" s="68">
        <v>-175.1</v>
      </c>
      <c r="AR8" s="68">
        <v>-411.4</v>
      </c>
      <c r="AS8" s="68">
        <v>-557.1</v>
      </c>
      <c r="AT8" s="656">
        <v>-645</v>
      </c>
      <c r="AU8" s="68">
        <v>-178</v>
      </c>
      <c r="AV8" s="259">
        <v>-268.5</v>
      </c>
      <c r="AW8" s="259">
        <v>-492.8</v>
      </c>
      <c r="AX8" s="656">
        <v>-587.1</v>
      </c>
      <c r="AY8" s="68">
        <v>-187.2</v>
      </c>
      <c r="AZ8" s="68">
        <v>-341.3</v>
      </c>
      <c r="BA8" s="68">
        <v>-582.4</v>
      </c>
      <c r="BB8" s="656">
        <v>-654</v>
      </c>
      <c r="BC8" s="68">
        <v>-206.7</v>
      </c>
      <c r="BD8" s="68">
        <v>-306.7</v>
      </c>
      <c r="BE8" s="68"/>
      <c r="BF8" s="656"/>
      <c r="BG8" s="934"/>
      <c r="BH8" s="233"/>
      <c r="BI8" s="540"/>
    </row>
    <row r="9" spans="1:483" ht="20.149999999999999" customHeight="1">
      <c r="A9" s="70" t="s">
        <v>300</v>
      </c>
      <c r="B9" s="672" t="s">
        <v>301</v>
      </c>
      <c r="C9" s="68">
        <v>46.908999999999999</v>
      </c>
      <c r="D9" s="68">
        <v>99.832000000000008</v>
      </c>
      <c r="E9" s="68">
        <v>145.40600000000001</v>
      </c>
      <c r="F9" s="68">
        <v>194.52100000000002</v>
      </c>
      <c r="G9" s="655">
        <v>46.048999999999999</v>
      </c>
      <c r="H9" s="68">
        <v>102.423</v>
      </c>
      <c r="I9" s="68">
        <v>162.63200000000001</v>
      </c>
      <c r="J9" s="656">
        <v>220.37100000000001</v>
      </c>
      <c r="K9" s="68">
        <v>40.084000000000003</v>
      </c>
      <c r="L9" s="68">
        <v>85.1</v>
      </c>
      <c r="M9" s="68">
        <v>162.19999999999999</v>
      </c>
      <c r="N9" s="68">
        <v>224.4</v>
      </c>
      <c r="O9" s="655">
        <v>43.7</v>
      </c>
      <c r="P9" s="68">
        <v>90.5</v>
      </c>
      <c r="Q9" s="68">
        <v>149.9</v>
      </c>
      <c r="R9" s="656">
        <v>212.6</v>
      </c>
      <c r="S9" s="68">
        <v>49.1</v>
      </c>
      <c r="T9" s="68">
        <v>125.3</v>
      </c>
      <c r="U9" s="68">
        <v>173.5</v>
      </c>
      <c r="V9" s="68">
        <v>230.7</v>
      </c>
      <c r="W9" s="655">
        <v>48.5</v>
      </c>
      <c r="X9" s="68">
        <v>102.7</v>
      </c>
      <c r="Y9" s="68">
        <v>166.1</v>
      </c>
      <c r="Z9" s="656">
        <v>228.6</v>
      </c>
      <c r="AA9" s="68">
        <v>45.7</v>
      </c>
      <c r="AB9" s="68">
        <v>103.8</v>
      </c>
      <c r="AC9" s="68">
        <v>100.5</v>
      </c>
      <c r="AD9" s="68">
        <v>337</v>
      </c>
      <c r="AE9" s="655">
        <v>123.3</v>
      </c>
      <c r="AF9" s="68">
        <v>262.39999999999998</v>
      </c>
      <c r="AG9" s="68">
        <v>411</v>
      </c>
      <c r="AH9" s="656">
        <v>543.6</v>
      </c>
      <c r="AI9" s="68">
        <v>123.3</v>
      </c>
      <c r="AJ9" s="68">
        <v>262.39999999999998</v>
      </c>
      <c r="AK9" s="68">
        <v>411</v>
      </c>
      <c r="AL9" s="68">
        <v>543.6</v>
      </c>
      <c r="AM9" s="655">
        <v>125.1</v>
      </c>
      <c r="AN9" s="68">
        <v>246.4</v>
      </c>
      <c r="AO9" s="68">
        <v>372.4</v>
      </c>
      <c r="AP9" s="656">
        <v>519.6</v>
      </c>
      <c r="AQ9" s="68">
        <v>136.80000000000001</v>
      </c>
      <c r="AR9" s="68">
        <v>267.39999999999998</v>
      </c>
      <c r="AS9" s="68">
        <v>394.1</v>
      </c>
      <c r="AT9" s="656">
        <v>558.79999999999995</v>
      </c>
      <c r="AU9" s="68">
        <v>149.80000000000001</v>
      </c>
      <c r="AV9" s="259">
        <v>323</v>
      </c>
      <c r="AW9" s="540">
        <v>502.9</v>
      </c>
      <c r="AX9" s="656">
        <v>668.6</v>
      </c>
      <c r="AY9" s="68">
        <v>151.30000000000001</v>
      </c>
      <c r="AZ9" s="540">
        <v>318.60000000000002</v>
      </c>
      <c r="BA9" s="540">
        <v>492.8</v>
      </c>
      <c r="BB9" s="656">
        <v>660.5</v>
      </c>
      <c r="BC9" s="68">
        <v>146.4</v>
      </c>
      <c r="BD9" s="540">
        <v>302.89999999999998</v>
      </c>
      <c r="BE9" s="540"/>
      <c r="BF9" s="656"/>
      <c r="BG9" s="934"/>
      <c r="BH9" s="233"/>
      <c r="BI9" s="540"/>
    </row>
    <row r="10" spans="1:483" ht="26">
      <c r="A10" s="70" t="s">
        <v>302</v>
      </c>
      <c r="B10" s="672" t="s">
        <v>303</v>
      </c>
      <c r="C10" s="68">
        <v>-1.0999999999999999E-2</v>
      </c>
      <c r="D10" s="68">
        <v>-0.25700000000000001</v>
      </c>
      <c r="E10" s="68">
        <v>-0.48299999999999998</v>
      </c>
      <c r="F10" s="68">
        <v>-0.111</v>
      </c>
      <c r="G10" s="655">
        <v>5.8000000000000003E-2</v>
      </c>
      <c r="H10" s="68">
        <v>7.2999999999999995E-2</v>
      </c>
      <c r="I10" s="68">
        <v>-38.896000000000001</v>
      </c>
      <c r="J10" s="656">
        <v>-35.765000000000001</v>
      </c>
      <c r="K10" s="68">
        <v>-5.2999999999999999E-2</v>
      </c>
      <c r="L10" s="68">
        <v>-0.7</v>
      </c>
      <c r="M10" s="68">
        <v>-2.4</v>
      </c>
      <c r="N10" s="68">
        <v>-2.9</v>
      </c>
      <c r="O10" s="655">
        <v>-0.4</v>
      </c>
      <c r="P10" s="68">
        <v>-4.8</v>
      </c>
      <c r="Q10" s="68">
        <v>-5.7</v>
      </c>
      <c r="R10" s="656">
        <v>-6.9</v>
      </c>
      <c r="S10" s="92" t="s">
        <v>256</v>
      </c>
      <c r="T10" s="92" t="s">
        <v>256</v>
      </c>
      <c r="U10" s="92" t="s">
        <v>256</v>
      </c>
      <c r="V10" s="92" t="s">
        <v>256</v>
      </c>
      <c r="W10" s="657" t="s">
        <v>256</v>
      </c>
      <c r="X10" s="92" t="s">
        <v>256</v>
      </c>
      <c r="Y10" s="92" t="s">
        <v>256</v>
      </c>
      <c r="Z10" s="658" t="s">
        <v>256</v>
      </c>
      <c r="AA10" s="92" t="s">
        <v>256</v>
      </c>
      <c r="AB10" s="92" t="s">
        <v>256</v>
      </c>
      <c r="AC10" s="92" t="s">
        <v>256</v>
      </c>
      <c r="AD10" s="92" t="s">
        <v>256</v>
      </c>
      <c r="AE10" s="657" t="s">
        <v>256</v>
      </c>
      <c r="AF10" s="92" t="s">
        <v>256</v>
      </c>
      <c r="AG10" s="92" t="s">
        <v>256</v>
      </c>
      <c r="AH10" s="658" t="s">
        <v>256</v>
      </c>
      <c r="AI10" s="92" t="s">
        <v>256</v>
      </c>
      <c r="AJ10" s="92" t="s">
        <v>256</v>
      </c>
      <c r="AK10" s="92" t="s">
        <v>256</v>
      </c>
      <c r="AL10" s="92" t="s">
        <v>256</v>
      </c>
      <c r="AM10" s="657" t="s">
        <v>256</v>
      </c>
      <c r="AN10" s="92" t="s">
        <v>256</v>
      </c>
      <c r="AO10" s="92" t="s">
        <v>256</v>
      </c>
      <c r="AP10" s="658" t="s">
        <v>256</v>
      </c>
      <c r="AQ10" s="92" t="s">
        <v>256</v>
      </c>
      <c r="AR10" s="92" t="s">
        <v>256</v>
      </c>
      <c r="AS10" s="92" t="s">
        <v>256</v>
      </c>
      <c r="AT10" s="658" t="s">
        <v>256</v>
      </c>
      <c r="AU10" s="92" t="s">
        <v>256</v>
      </c>
      <c r="AV10" s="261" t="s">
        <v>256</v>
      </c>
      <c r="AW10" s="92" t="s">
        <v>256</v>
      </c>
      <c r="AX10" s="658" t="s">
        <v>256</v>
      </c>
      <c r="AY10" s="92" t="s">
        <v>256</v>
      </c>
      <c r="AZ10" s="261" t="s">
        <v>256</v>
      </c>
      <c r="BA10" s="261" t="s">
        <v>256</v>
      </c>
      <c r="BB10" s="658" t="s">
        <v>256</v>
      </c>
      <c r="BC10" s="92" t="s">
        <v>256</v>
      </c>
      <c r="BD10" s="92" t="s">
        <v>256</v>
      </c>
      <c r="BE10" s="261"/>
      <c r="BF10" s="658"/>
      <c r="BG10" s="934"/>
      <c r="BH10" s="233"/>
      <c r="BI10" s="540"/>
    </row>
    <row r="11" spans="1:483" ht="20.149999999999999" customHeight="1">
      <c r="A11" s="70" t="s">
        <v>304</v>
      </c>
      <c r="B11" s="672" t="s">
        <v>305</v>
      </c>
      <c r="C11" s="68">
        <v>2.3109999999999999</v>
      </c>
      <c r="D11" s="68">
        <v>4.6020000000000003</v>
      </c>
      <c r="E11" s="68">
        <v>6.1379999999999999</v>
      </c>
      <c r="F11" s="68">
        <v>9.2439999999999998</v>
      </c>
      <c r="G11" s="655">
        <v>3.504</v>
      </c>
      <c r="H11" s="68">
        <v>5.843</v>
      </c>
      <c r="I11" s="68">
        <v>6.3049999999999997</v>
      </c>
      <c r="J11" s="656">
        <v>6.407</v>
      </c>
      <c r="K11" s="68">
        <v>4.1000000000000002E-2</v>
      </c>
      <c r="L11" s="68">
        <v>0.1</v>
      </c>
      <c r="M11" s="68">
        <v>30.4</v>
      </c>
      <c r="N11" s="68">
        <v>30.5</v>
      </c>
      <c r="O11" s="655">
        <v>0.1</v>
      </c>
      <c r="P11" s="68">
        <v>0.5</v>
      </c>
      <c r="Q11" s="68">
        <v>0.5</v>
      </c>
      <c r="R11" s="656">
        <v>1.4</v>
      </c>
      <c r="S11" s="92" t="s">
        <v>256</v>
      </c>
      <c r="T11" s="92" t="s">
        <v>256</v>
      </c>
      <c r="U11" s="92" t="s">
        <v>256</v>
      </c>
      <c r="V11" s="92" t="s">
        <v>256</v>
      </c>
      <c r="W11" s="657" t="s">
        <v>256</v>
      </c>
      <c r="X11" s="92" t="s">
        <v>256</v>
      </c>
      <c r="Y11" s="92" t="s">
        <v>256</v>
      </c>
      <c r="Z11" s="658" t="s">
        <v>256</v>
      </c>
      <c r="AA11" s="92" t="s">
        <v>256</v>
      </c>
      <c r="AB11" s="92" t="s">
        <v>256</v>
      </c>
      <c r="AC11" s="92" t="s">
        <v>256</v>
      </c>
      <c r="AD11" s="92" t="s">
        <v>256</v>
      </c>
      <c r="AE11" s="657" t="s">
        <v>256</v>
      </c>
      <c r="AF11" s="92" t="s">
        <v>256</v>
      </c>
      <c r="AG11" s="92" t="s">
        <v>256</v>
      </c>
      <c r="AH11" s="658" t="s">
        <v>256</v>
      </c>
      <c r="AI11" s="92" t="s">
        <v>256</v>
      </c>
      <c r="AJ11" s="92" t="s">
        <v>256</v>
      </c>
      <c r="AK11" s="92" t="s">
        <v>256</v>
      </c>
      <c r="AL11" s="92" t="s">
        <v>256</v>
      </c>
      <c r="AM11" s="657" t="s">
        <v>256</v>
      </c>
      <c r="AN11" s="92" t="s">
        <v>256</v>
      </c>
      <c r="AO11" s="92" t="s">
        <v>256</v>
      </c>
      <c r="AP11" s="658" t="s">
        <v>256</v>
      </c>
      <c r="AQ11" s="92" t="s">
        <v>256</v>
      </c>
      <c r="AR11" s="92" t="s">
        <v>256</v>
      </c>
      <c r="AS11" s="92" t="s">
        <v>256</v>
      </c>
      <c r="AT11" s="658" t="s">
        <v>256</v>
      </c>
      <c r="AU11" s="92" t="s">
        <v>256</v>
      </c>
      <c r="AV11" s="261" t="s">
        <v>256</v>
      </c>
      <c r="AW11" s="92" t="s">
        <v>256</v>
      </c>
      <c r="AX11" s="658" t="s">
        <v>256</v>
      </c>
      <c r="AY11" s="92" t="s">
        <v>256</v>
      </c>
      <c r="AZ11" s="261" t="s">
        <v>256</v>
      </c>
      <c r="BA11" s="261" t="s">
        <v>256</v>
      </c>
      <c r="BB11" s="658" t="s">
        <v>256</v>
      </c>
      <c r="BC11" s="92" t="s">
        <v>256</v>
      </c>
      <c r="BD11" s="92" t="s">
        <v>256</v>
      </c>
      <c r="BE11" s="261"/>
      <c r="BF11" s="658"/>
      <c r="BG11" s="934"/>
      <c r="BH11" s="233"/>
      <c r="BI11" s="540"/>
    </row>
    <row r="12" spans="1:483" ht="20.149999999999999" customHeight="1">
      <c r="A12" s="70" t="s">
        <v>306</v>
      </c>
      <c r="B12" s="672" t="s">
        <v>307</v>
      </c>
      <c r="C12" s="68">
        <v>52.017000000000003</v>
      </c>
      <c r="D12" s="68">
        <v>105.822</v>
      </c>
      <c r="E12" s="68">
        <v>156.893</v>
      </c>
      <c r="F12" s="68">
        <v>205.185</v>
      </c>
      <c r="G12" s="655">
        <v>46.368000000000002</v>
      </c>
      <c r="H12" s="68">
        <v>93.388999999999996</v>
      </c>
      <c r="I12" s="68">
        <v>140.42699999999999</v>
      </c>
      <c r="J12" s="656">
        <v>183.81100000000001</v>
      </c>
      <c r="K12" s="68">
        <v>90.381</v>
      </c>
      <c r="L12" s="68">
        <v>248.5</v>
      </c>
      <c r="M12" s="68">
        <v>421.4</v>
      </c>
      <c r="N12" s="68">
        <v>603.70000000000005</v>
      </c>
      <c r="O12" s="655">
        <v>177.4</v>
      </c>
      <c r="P12" s="68">
        <v>348.5</v>
      </c>
      <c r="Q12" s="68">
        <v>581.29999999999995</v>
      </c>
      <c r="R12" s="656">
        <v>763.6</v>
      </c>
      <c r="S12" s="68">
        <v>144.69999999999999</v>
      </c>
      <c r="T12" s="68">
        <v>285.89999999999998</v>
      </c>
      <c r="U12" s="68">
        <v>417.4</v>
      </c>
      <c r="V12" s="68">
        <v>541.9</v>
      </c>
      <c r="W12" s="655">
        <v>114.5</v>
      </c>
      <c r="X12" s="68">
        <v>228.7</v>
      </c>
      <c r="Y12" s="68">
        <v>331.1</v>
      </c>
      <c r="Z12" s="656">
        <v>432.3</v>
      </c>
      <c r="AA12" s="68">
        <v>68.5</v>
      </c>
      <c r="AB12" s="68">
        <v>166.7</v>
      </c>
      <c r="AC12" s="68">
        <v>269</v>
      </c>
      <c r="AD12" s="68">
        <v>401.6</v>
      </c>
      <c r="AE12" s="655">
        <v>94.5</v>
      </c>
      <c r="AF12" s="68">
        <v>189.2</v>
      </c>
      <c r="AG12" s="68">
        <v>291</v>
      </c>
      <c r="AH12" s="656">
        <v>388.2</v>
      </c>
      <c r="AI12" s="68">
        <v>107.2</v>
      </c>
      <c r="AJ12" s="68">
        <v>214.3</v>
      </c>
      <c r="AK12" s="68">
        <v>327.5</v>
      </c>
      <c r="AL12" s="68">
        <v>437.8</v>
      </c>
      <c r="AM12" s="655">
        <v>111.9</v>
      </c>
      <c r="AN12" s="68">
        <v>206.1</v>
      </c>
      <c r="AO12" s="68">
        <v>285.7</v>
      </c>
      <c r="AP12" s="656">
        <v>364.8</v>
      </c>
      <c r="AQ12" s="68">
        <v>78</v>
      </c>
      <c r="AR12" s="68">
        <v>154.9</v>
      </c>
      <c r="AS12" s="68">
        <v>223</v>
      </c>
      <c r="AT12" s="656">
        <v>299.39999999999998</v>
      </c>
      <c r="AU12" s="68">
        <v>112.3</v>
      </c>
      <c r="AV12" s="259">
        <v>271.2</v>
      </c>
      <c r="AW12" s="259">
        <v>466.2</v>
      </c>
      <c r="AX12" s="656">
        <v>660.6</v>
      </c>
      <c r="AY12" s="68">
        <v>236.9</v>
      </c>
      <c r="AZ12" s="68">
        <v>514</v>
      </c>
      <c r="BA12" s="6">
        <v>787.2</v>
      </c>
      <c r="BB12" s="656">
        <v>1078.2</v>
      </c>
      <c r="BC12" s="68">
        <v>264.2</v>
      </c>
      <c r="BD12" s="68">
        <v>515.20000000000005</v>
      </c>
      <c r="BE12" s="6"/>
      <c r="BF12" s="656"/>
      <c r="BG12" s="934"/>
      <c r="BH12" s="233"/>
      <c r="BI12" s="540"/>
    </row>
    <row r="13" spans="1:483" ht="20.149999999999999" customHeight="1">
      <c r="A13" s="70" t="s">
        <v>308</v>
      </c>
      <c r="B13" s="672" t="s">
        <v>309</v>
      </c>
      <c r="C13" s="68">
        <v>-7.2490000000000006</v>
      </c>
      <c r="D13" s="68">
        <v>-7.3810000000000002</v>
      </c>
      <c r="E13" s="68">
        <v>1.093</v>
      </c>
      <c r="F13" s="68">
        <v>16.173000000000002</v>
      </c>
      <c r="G13" s="655">
        <v>11.273</v>
      </c>
      <c r="H13" s="68">
        <v>4.4740000000000002</v>
      </c>
      <c r="I13" s="68">
        <v>5.9119999999999999</v>
      </c>
      <c r="J13" s="656">
        <v>14.839</v>
      </c>
      <c r="K13" s="68">
        <v>-16.302</v>
      </c>
      <c r="L13" s="68">
        <v>-41.8</v>
      </c>
      <c r="M13" s="68">
        <v>-14.7</v>
      </c>
      <c r="N13" s="68">
        <v>0.5</v>
      </c>
      <c r="O13" s="655">
        <v>48.6</v>
      </c>
      <c r="P13" s="68">
        <v>45.6</v>
      </c>
      <c r="Q13" s="68">
        <v>43.3</v>
      </c>
      <c r="R13" s="656">
        <v>26.4</v>
      </c>
      <c r="S13" s="68">
        <v>21.5</v>
      </c>
      <c r="T13" s="68">
        <v>11.7</v>
      </c>
      <c r="U13" s="68">
        <v>0.7</v>
      </c>
      <c r="V13" s="68">
        <v>3</v>
      </c>
      <c r="W13" s="655">
        <v>41.5</v>
      </c>
      <c r="X13" s="68">
        <v>-0.3</v>
      </c>
      <c r="Y13" s="68">
        <v>-16.899999999999999</v>
      </c>
      <c r="Z13" s="656">
        <v>-5</v>
      </c>
      <c r="AA13" s="68">
        <v>7.7</v>
      </c>
      <c r="AB13" s="68">
        <v>-45.1</v>
      </c>
      <c r="AC13" s="68">
        <v>-70.8</v>
      </c>
      <c r="AD13" s="68">
        <v>-77.2</v>
      </c>
      <c r="AE13" s="655">
        <v>60.3</v>
      </c>
      <c r="AF13" s="68">
        <v>51.4</v>
      </c>
      <c r="AG13" s="68">
        <v>36.299999999999997</v>
      </c>
      <c r="AH13" s="656">
        <v>89.1</v>
      </c>
      <c r="AI13" s="68">
        <v>60.3</v>
      </c>
      <c r="AJ13" s="68">
        <v>51.4</v>
      </c>
      <c r="AK13" s="68">
        <v>36.299999999999997</v>
      </c>
      <c r="AL13" s="68">
        <v>89.1</v>
      </c>
      <c r="AM13" s="655">
        <v>-85.7</v>
      </c>
      <c r="AN13" s="68">
        <v>-190.2</v>
      </c>
      <c r="AO13" s="68">
        <v>-96.4</v>
      </c>
      <c r="AP13" s="656">
        <v>13.2</v>
      </c>
      <c r="AQ13" s="68">
        <v>-5.4</v>
      </c>
      <c r="AR13" s="68">
        <v>-139.6</v>
      </c>
      <c r="AS13" s="68">
        <v>-215.3</v>
      </c>
      <c r="AT13" s="656">
        <v>-295.39999999999998</v>
      </c>
      <c r="AU13" s="68">
        <v>-1.8</v>
      </c>
      <c r="AV13" s="259">
        <v>-113.6</v>
      </c>
      <c r="AW13" s="259">
        <v>-66.900000000000006</v>
      </c>
      <c r="AX13" s="656">
        <v>-82.5</v>
      </c>
      <c r="AY13" s="68">
        <v>-109.8</v>
      </c>
      <c r="AZ13" s="68">
        <v>-107.4</v>
      </c>
      <c r="BA13" s="68">
        <v>-50.3</v>
      </c>
      <c r="BB13" s="656">
        <v>150.1</v>
      </c>
      <c r="BC13" s="68">
        <v>-4.2</v>
      </c>
      <c r="BD13" s="68">
        <v>24.4</v>
      </c>
      <c r="BE13" s="68"/>
      <c r="BF13" s="656"/>
      <c r="BG13" s="934"/>
      <c r="BH13" s="233"/>
      <c r="BI13" s="540"/>
    </row>
    <row r="14" spans="1:483" ht="20.149999999999999" customHeight="1">
      <c r="A14" s="70" t="s">
        <v>310</v>
      </c>
      <c r="B14" s="672" t="s">
        <v>311</v>
      </c>
      <c r="C14" s="68">
        <v>-48.496000000000002</v>
      </c>
      <c r="D14" s="68">
        <v>-85.073000000000008</v>
      </c>
      <c r="E14" s="68">
        <v>-90.59</v>
      </c>
      <c r="F14" s="68">
        <v>-106.816</v>
      </c>
      <c r="G14" s="655">
        <v>-18.654</v>
      </c>
      <c r="H14" s="68">
        <v>-16.358000000000001</v>
      </c>
      <c r="I14" s="68">
        <v>16.681000000000001</v>
      </c>
      <c r="J14" s="656">
        <v>60.908000000000001</v>
      </c>
      <c r="K14" s="68">
        <v>-5.1610000000000005</v>
      </c>
      <c r="L14" s="68">
        <v>-29.2</v>
      </c>
      <c r="M14" s="68">
        <v>-87.6</v>
      </c>
      <c r="N14" s="68">
        <v>-191.9</v>
      </c>
      <c r="O14" s="655">
        <v>-211.8</v>
      </c>
      <c r="P14" s="68">
        <v>-581.20000000000005</v>
      </c>
      <c r="Q14" s="68">
        <v>-349.3</v>
      </c>
      <c r="R14" s="656">
        <v>-478.2</v>
      </c>
      <c r="S14" s="68">
        <v>-33.9</v>
      </c>
      <c r="T14" s="68">
        <v>-105.3</v>
      </c>
      <c r="U14" s="68">
        <v>-164.6</v>
      </c>
      <c r="V14" s="68">
        <v>-329.9</v>
      </c>
      <c r="W14" s="655">
        <v>21.5</v>
      </c>
      <c r="X14" s="68">
        <v>-112.7</v>
      </c>
      <c r="Y14" s="68">
        <v>-224.5</v>
      </c>
      <c r="Z14" s="656">
        <v>-470.8</v>
      </c>
      <c r="AA14" s="68">
        <v>38.1</v>
      </c>
      <c r="AB14" s="68">
        <v>-516.5</v>
      </c>
      <c r="AC14" s="68">
        <v>-266.89999999999998</v>
      </c>
      <c r="AD14" s="68">
        <v>-289.10000000000002</v>
      </c>
      <c r="AE14" s="655">
        <v>155.9</v>
      </c>
      <c r="AF14" s="68">
        <v>8.1</v>
      </c>
      <c r="AG14" s="68">
        <v>-51.3</v>
      </c>
      <c r="AH14" s="656">
        <v>-312.5</v>
      </c>
      <c r="AI14" s="68">
        <v>158.4</v>
      </c>
      <c r="AJ14" s="68">
        <v>12.4</v>
      </c>
      <c r="AK14" s="68">
        <v>-48.3</v>
      </c>
      <c r="AL14" s="68">
        <v>-311.8</v>
      </c>
      <c r="AM14" s="655">
        <v>185.1</v>
      </c>
      <c r="AN14" s="68">
        <v>293.7</v>
      </c>
      <c r="AO14" s="68">
        <v>194.2</v>
      </c>
      <c r="AP14" s="656">
        <v>119.3</v>
      </c>
      <c r="AQ14" s="68">
        <v>-48.2</v>
      </c>
      <c r="AR14" s="68">
        <v>3.7</v>
      </c>
      <c r="AS14" s="68">
        <v>76.099999999999994</v>
      </c>
      <c r="AT14" s="656">
        <v>-25.7</v>
      </c>
      <c r="AU14" s="68">
        <v>41.7</v>
      </c>
      <c r="AV14" s="259">
        <v>-113.2</v>
      </c>
      <c r="AW14" s="259">
        <v>174.4</v>
      </c>
      <c r="AX14" s="656">
        <v>-0.9</v>
      </c>
      <c r="AY14" s="68">
        <v>132.5</v>
      </c>
      <c r="AZ14" s="68">
        <v>138.30000000000001</v>
      </c>
      <c r="BA14" s="68">
        <v>-246.2</v>
      </c>
      <c r="BB14" s="656">
        <v>-32.1</v>
      </c>
      <c r="BC14" s="68">
        <v>-71</v>
      </c>
      <c r="BD14" s="68">
        <v>-90.9</v>
      </c>
      <c r="BE14" s="68"/>
      <c r="BF14" s="656"/>
      <c r="BG14" s="934"/>
      <c r="BH14" s="540"/>
      <c r="BI14" s="540"/>
    </row>
    <row r="15" spans="1:483" ht="20.149999999999999" customHeight="1">
      <c r="A15" s="194" t="s">
        <v>312</v>
      </c>
      <c r="B15" s="673" t="s">
        <v>313</v>
      </c>
      <c r="C15" s="68">
        <v>53.564</v>
      </c>
      <c r="D15" s="68">
        <v>51.881</v>
      </c>
      <c r="E15" s="68">
        <v>66.406999999999996</v>
      </c>
      <c r="F15" s="68">
        <v>67.872</v>
      </c>
      <c r="G15" s="655">
        <v>-36.840000000000003</v>
      </c>
      <c r="H15" s="68">
        <v>-56.231999999999999</v>
      </c>
      <c r="I15" s="68">
        <v>-85.896000000000001</v>
      </c>
      <c r="J15" s="656">
        <v>-104.93900000000001</v>
      </c>
      <c r="K15" s="68">
        <v>31.469000000000001</v>
      </c>
      <c r="L15" s="68">
        <v>-73.8</v>
      </c>
      <c r="M15" s="68">
        <v>-175.9</v>
      </c>
      <c r="N15" s="68">
        <v>-277.7</v>
      </c>
      <c r="O15" s="655">
        <v>-216.1</v>
      </c>
      <c r="P15" s="68">
        <v>69.3</v>
      </c>
      <c r="Q15" s="68">
        <v>-184.3</v>
      </c>
      <c r="R15" s="656">
        <v>-118</v>
      </c>
      <c r="S15" s="68">
        <v>-205.9</v>
      </c>
      <c r="T15" s="68">
        <v>-106.7</v>
      </c>
      <c r="U15" s="68">
        <v>-141.30000000000001</v>
      </c>
      <c r="V15" s="68">
        <v>-33.299999999999997</v>
      </c>
      <c r="W15" s="655">
        <v>-181.5</v>
      </c>
      <c r="X15" s="68">
        <v>-112.9</v>
      </c>
      <c r="Y15" s="68">
        <v>-90.1</v>
      </c>
      <c r="Z15" s="656">
        <v>183.1</v>
      </c>
      <c r="AA15" s="68">
        <v>-259.2</v>
      </c>
      <c r="AB15" s="68">
        <v>125.8</v>
      </c>
      <c r="AC15" s="68">
        <v>88</v>
      </c>
      <c r="AD15" s="68">
        <v>-44.2</v>
      </c>
      <c r="AE15" s="655">
        <v>-379.7</v>
      </c>
      <c r="AF15" s="68">
        <v>-183.1</v>
      </c>
      <c r="AG15" s="68">
        <v>-163.69999999999999</v>
      </c>
      <c r="AH15" s="656">
        <v>64.8</v>
      </c>
      <c r="AI15" s="68">
        <v>-439.5</v>
      </c>
      <c r="AJ15" s="68">
        <v>-264.7</v>
      </c>
      <c r="AK15" s="68">
        <v>-266.8</v>
      </c>
      <c r="AL15" s="68">
        <v>-25.7</v>
      </c>
      <c r="AM15" s="655">
        <v>-138.9</v>
      </c>
      <c r="AN15" s="68">
        <v>-265.5</v>
      </c>
      <c r="AO15" s="68">
        <v>-408.2</v>
      </c>
      <c r="AP15" s="656">
        <v>-401.3</v>
      </c>
      <c r="AQ15" s="68">
        <v>-2.1</v>
      </c>
      <c r="AR15" s="68">
        <v>-78.3</v>
      </c>
      <c r="AS15" s="68">
        <v>-92</v>
      </c>
      <c r="AT15" s="656">
        <v>-55</v>
      </c>
      <c r="AU15" s="68">
        <v>-143.80000000000001</v>
      </c>
      <c r="AV15" s="259">
        <v>-49.7</v>
      </c>
      <c r="AW15" s="259">
        <v>-391.4</v>
      </c>
      <c r="AX15" s="656">
        <v>-218.6</v>
      </c>
      <c r="AY15" s="68">
        <v>-330.2</v>
      </c>
      <c r="AZ15" s="68">
        <v>-55.2</v>
      </c>
      <c r="BA15" s="68">
        <v>-122.4</v>
      </c>
      <c r="BB15" s="656">
        <v>-268.5</v>
      </c>
      <c r="BC15" s="68">
        <v>0.6</v>
      </c>
      <c r="BD15" s="68">
        <v>-2.4</v>
      </c>
      <c r="BE15" s="68"/>
      <c r="BF15" s="656"/>
      <c r="BG15" s="934"/>
      <c r="BH15" s="540"/>
      <c r="BI15" s="540"/>
    </row>
    <row r="16" spans="1:483" ht="20.149999999999999" customHeight="1">
      <c r="A16" s="70" t="s">
        <v>314</v>
      </c>
      <c r="B16" s="672" t="s">
        <v>315</v>
      </c>
      <c r="C16" s="68"/>
      <c r="D16" s="68"/>
      <c r="E16" s="68"/>
      <c r="F16" s="68"/>
      <c r="G16" s="655"/>
      <c r="H16" s="68"/>
      <c r="I16" s="68"/>
      <c r="J16" s="656"/>
      <c r="K16" s="68"/>
      <c r="L16" s="68"/>
      <c r="M16" s="68"/>
      <c r="N16" s="68"/>
      <c r="O16" s="655"/>
      <c r="P16" s="68"/>
      <c r="Q16" s="68"/>
      <c r="R16" s="656"/>
      <c r="S16" s="68"/>
      <c r="T16" s="68"/>
      <c r="U16" s="68"/>
      <c r="V16" s="68"/>
      <c r="W16" s="655"/>
      <c r="X16" s="68"/>
      <c r="Y16" s="68"/>
      <c r="Z16" s="656"/>
      <c r="AA16" s="68">
        <v>29.6</v>
      </c>
      <c r="AB16" s="68">
        <v>48.1</v>
      </c>
      <c r="AC16" s="68">
        <v>55.2</v>
      </c>
      <c r="AD16" s="68">
        <v>47.8</v>
      </c>
      <c r="AE16" s="655">
        <v>-9.1999999999999993</v>
      </c>
      <c r="AF16" s="68">
        <v>-3.3</v>
      </c>
      <c r="AG16" s="68">
        <v>9.1999999999999993</v>
      </c>
      <c r="AH16" s="656">
        <v>9.6999999999999993</v>
      </c>
      <c r="AI16" s="68">
        <v>-9.1999999999999993</v>
      </c>
      <c r="AJ16" s="68">
        <v>-3.3</v>
      </c>
      <c r="AK16" s="68">
        <v>9.1999999999999993</v>
      </c>
      <c r="AL16" s="68">
        <v>9.6999999999999993</v>
      </c>
      <c r="AM16" s="655">
        <v>10.6</v>
      </c>
      <c r="AN16" s="68">
        <v>46.2</v>
      </c>
      <c r="AO16" s="68">
        <v>71.2</v>
      </c>
      <c r="AP16" s="656">
        <v>101</v>
      </c>
      <c r="AQ16" s="68">
        <v>32.1</v>
      </c>
      <c r="AR16" s="68">
        <v>61.5</v>
      </c>
      <c r="AS16" s="68">
        <v>99</v>
      </c>
      <c r="AT16" s="656">
        <v>119.7</v>
      </c>
      <c r="AU16" s="68">
        <v>24.2</v>
      </c>
      <c r="AV16" s="68">
        <v>43.9</v>
      </c>
      <c r="AW16" s="68">
        <v>56.5</v>
      </c>
      <c r="AX16" s="656">
        <v>55.1</v>
      </c>
      <c r="AY16" s="68">
        <v>-14.6</v>
      </c>
      <c r="AZ16" s="68">
        <v>-12.4</v>
      </c>
      <c r="BA16" s="68">
        <v>10.7</v>
      </c>
      <c r="BB16" s="656">
        <v>13.9</v>
      </c>
      <c r="BC16" s="68">
        <v>8.1999999999999993</v>
      </c>
      <c r="BD16" s="68">
        <v>12.4</v>
      </c>
      <c r="BE16" s="68"/>
      <c r="BF16" s="656"/>
      <c r="BG16" s="934"/>
      <c r="BH16" s="540"/>
      <c r="BI16" s="540"/>
    </row>
    <row r="17" spans="1:61" ht="20.149999999999999" customHeight="1">
      <c r="A17" s="70" t="s">
        <v>316</v>
      </c>
      <c r="B17" s="672" t="s">
        <v>317</v>
      </c>
      <c r="C17" s="68"/>
      <c r="D17" s="68"/>
      <c r="E17" s="68"/>
      <c r="F17" s="68"/>
      <c r="G17" s="655"/>
      <c r="H17" s="68"/>
      <c r="I17" s="68"/>
      <c r="J17" s="656"/>
      <c r="K17" s="68"/>
      <c r="L17" s="68"/>
      <c r="M17" s="68"/>
      <c r="N17" s="68"/>
      <c r="O17" s="655"/>
      <c r="P17" s="68"/>
      <c r="Q17" s="68"/>
      <c r="R17" s="656"/>
      <c r="S17" s="68"/>
      <c r="T17" s="68"/>
      <c r="U17" s="68"/>
      <c r="V17" s="68"/>
      <c r="W17" s="655"/>
      <c r="X17" s="68"/>
      <c r="Y17" s="68"/>
      <c r="Z17" s="656"/>
      <c r="AA17" s="68">
        <v>-9.6</v>
      </c>
      <c r="AB17" s="68">
        <v>39.5</v>
      </c>
      <c r="AC17" s="68">
        <v>43.2</v>
      </c>
      <c r="AD17" s="68">
        <v>107.6</v>
      </c>
      <c r="AE17" s="655">
        <v>17.399999999999999</v>
      </c>
      <c r="AF17" s="68">
        <v>7</v>
      </c>
      <c r="AG17" s="68">
        <v>24.4</v>
      </c>
      <c r="AH17" s="656">
        <v>7.9</v>
      </c>
      <c r="AI17" s="68">
        <v>17.399999999999999</v>
      </c>
      <c r="AJ17" s="68">
        <v>7</v>
      </c>
      <c r="AK17" s="68">
        <v>24.4</v>
      </c>
      <c r="AL17" s="68">
        <v>7.9</v>
      </c>
      <c r="AM17" s="655">
        <v>12</v>
      </c>
      <c r="AN17" s="68">
        <v>-26.7</v>
      </c>
      <c r="AO17" s="68">
        <v>-41.4</v>
      </c>
      <c r="AP17" s="656">
        <v>-37.5</v>
      </c>
      <c r="AQ17" s="68">
        <v>-12.5</v>
      </c>
      <c r="AR17" s="68">
        <v>-28.9</v>
      </c>
      <c r="AS17" s="68">
        <v>-7.3</v>
      </c>
      <c r="AT17" s="656">
        <v>-30.6</v>
      </c>
      <c r="AU17" s="68">
        <v>-13.3</v>
      </c>
      <c r="AV17" s="68">
        <v>-28.1</v>
      </c>
      <c r="AW17" s="259">
        <v>-27.1</v>
      </c>
      <c r="AX17" s="656">
        <v>-48.1</v>
      </c>
      <c r="AY17" s="68">
        <v>22.1</v>
      </c>
      <c r="AZ17" s="68">
        <v>23.1</v>
      </c>
      <c r="BA17" s="68">
        <v>1.9</v>
      </c>
      <c r="BB17" s="656">
        <v>-38</v>
      </c>
      <c r="BC17" s="68">
        <v>37.700000000000003</v>
      </c>
      <c r="BD17" s="68">
        <v>70</v>
      </c>
      <c r="BE17" s="68"/>
      <c r="BF17" s="656"/>
      <c r="BG17" s="934"/>
      <c r="BH17" s="540"/>
      <c r="BI17" s="540"/>
    </row>
    <row r="18" spans="1:61" ht="26">
      <c r="A18" s="70" t="s">
        <v>318</v>
      </c>
      <c r="B18" s="672" t="s">
        <v>319</v>
      </c>
      <c r="C18" s="68">
        <v>-0.186</v>
      </c>
      <c r="D18" s="68">
        <v>4.0730000000000004</v>
      </c>
      <c r="E18" s="68">
        <v>0.502</v>
      </c>
      <c r="F18" s="68">
        <v>2.093</v>
      </c>
      <c r="G18" s="655">
        <v>-1.048</v>
      </c>
      <c r="H18" s="68">
        <v>2.4170000000000003</v>
      </c>
      <c r="I18" s="68">
        <v>-3.5390000000000001</v>
      </c>
      <c r="J18" s="656">
        <v>6.4770000000000003</v>
      </c>
      <c r="K18" s="68">
        <v>-13.309000000000001</v>
      </c>
      <c r="L18" s="68">
        <v>-1.5</v>
      </c>
      <c r="M18" s="68">
        <v>-17.399999999999999</v>
      </c>
      <c r="N18" s="68">
        <v>-4.9000000000000004</v>
      </c>
      <c r="O18" s="655">
        <v>-11.7</v>
      </c>
      <c r="P18" s="68">
        <v>-7.6</v>
      </c>
      <c r="Q18" s="68">
        <v>-17.7</v>
      </c>
      <c r="R18" s="656">
        <v>-3.9</v>
      </c>
      <c r="S18" s="68">
        <v>-11.1</v>
      </c>
      <c r="T18" s="68">
        <v>1</v>
      </c>
      <c r="U18" s="68">
        <v>-5.6</v>
      </c>
      <c r="V18" s="68">
        <v>-6.1</v>
      </c>
      <c r="W18" s="657" t="s">
        <v>256</v>
      </c>
      <c r="X18" s="68">
        <v>9.4</v>
      </c>
      <c r="Y18" s="68">
        <v>1.4</v>
      </c>
      <c r="Z18" s="656">
        <v>3.9</v>
      </c>
      <c r="AA18" s="92" t="s">
        <v>256</v>
      </c>
      <c r="AB18" s="92" t="s">
        <v>256</v>
      </c>
      <c r="AC18" s="92" t="s">
        <v>256</v>
      </c>
      <c r="AD18" s="92" t="s">
        <v>256</v>
      </c>
      <c r="AE18" s="657" t="s">
        <v>256</v>
      </c>
      <c r="AF18" s="92" t="s">
        <v>256</v>
      </c>
      <c r="AG18" s="92" t="s">
        <v>256</v>
      </c>
      <c r="AH18" s="658" t="s">
        <v>256</v>
      </c>
      <c r="AI18" s="92" t="s">
        <v>256</v>
      </c>
      <c r="AJ18" s="92" t="s">
        <v>256</v>
      </c>
      <c r="AK18" s="92" t="s">
        <v>256</v>
      </c>
      <c r="AL18" s="92" t="s">
        <v>256</v>
      </c>
      <c r="AM18" s="657" t="s">
        <v>256</v>
      </c>
      <c r="AN18" s="92" t="s">
        <v>256</v>
      </c>
      <c r="AO18" s="92" t="s">
        <v>256</v>
      </c>
      <c r="AP18" s="658" t="s">
        <v>256</v>
      </c>
      <c r="AQ18" s="92" t="s">
        <v>256</v>
      </c>
      <c r="AR18" s="92" t="s">
        <v>256</v>
      </c>
      <c r="AS18" s="92" t="s">
        <v>256</v>
      </c>
      <c r="AT18" s="658" t="s">
        <v>256</v>
      </c>
      <c r="AU18" s="92" t="s">
        <v>256</v>
      </c>
      <c r="AV18" s="92" t="s">
        <v>256</v>
      </c>
      <c r="AW18" s="92" t="s">
        <v>256</v>
      </c>
      <c r="AX18" s="658" t="s">
        <v>256</v>
      </c>
      <c r="AY18" s="92" t="s">
        <v>256</v>
      </c>
      <c r="AZ18" s="92" t="s">
        <v>256</v>
      </c>
      <c r="BA18" s="92" t="s">
        <v>256</v>
      </c>
      <c r="BB18" s="658" t="s">
        <v>256</v>
      </c>
      <c r="BC18" s="92" t="s">
        <v>256</v>
      </c>
      <c r="BD18" s="92" t="s">
        <v>256</v>
      </c>
      <c r="BE18" s="92"/>
      <c r="BF18" s="658"/>
      <c r="BG18" s="934"/>
      <c r="BH18" s="540"/>
      <c r="BI18" s="540"/>
    </row>
    <row r="19" spans="1:61" ht="20.149999999999999" customHeight="1">
      <c r="A19" s="70" t="s">
        <v>320</v>
      </c>
      <c r="B19" s="672" t="s">
        <v>321</v>
      </c>
      <c r="C19" s="68">
        <v>-9.7880000000000003</v>
      </c>
      <c r="D19" s="68">
        <v>-10.354000000000001</v>
      </c>
      <c r="E19" s="68">
        <v>-21.978000000000002</v>
      </c>
      <c r="F19" s="68">
        <v>-31.345000000000002</v>
      </c>
      <c r="G19" s="655">
        <v>3.66</v>
      </c>
      <c r="H19" s="68">
        <v>9.0690000000000008</v>
      </c>
      <c r="I19" s="68">
        <v>11.329000000000001</v>
      </c>
      <c r="J19" s="656">
        <v>14.404</v>
      </c>
      <c r="K19" s="68">
        <v>11.066000000000001</v>
      </c>
      <c r="L19" s="68">
        <v>11.1</v>
      </c>
      <c r="M19" s="68">
        <v>-0.2</v>
      </c>
      <c r="N19" s="68">
        <v>-3.9</v>
      </c>
      <c r="O19" s="655">
        <v>-0.6</v>
      </c>
      <c r="P19" s="68">
        <v>5.3</v>
      </c>
      <c r="Q19" s="68">
        <v>4.8</v>
      </c>
      <c r="R19" s="656">
        <v>6.6</v>
      </c>
      <c r="S19" s="68">
        <v>2.5</v>
      </c>
      <c r="T19" s="68">
        <v>4.7</v>
      </c>
      <c r="U19" s="68">
        <v>7.3</v>
      </c>
      <c r="V19" s="68">
        <v>9.8000000000000007</v>
      </c>
      <c r="W19" s="657" t="s">
        <v>256</v>
      </c>
      <c r="X19" s="92" t="s">
        <v>256</v>
      </c>
      <c r="Y19" s="92" t="s">
        <v>256</v>
      </c>
      <c r="Z19" s="658" t="s">
        <v>256</v>
      </c>
      <c r="AA19" s="92" t="s">
        <v>256</v>
      </c>
      <c r="AB19" s="92" t="s">
        <v>256</v>
      </c>
      <c r="AC19" s="92" t="s">
        <v>256</v>
      </c>
      <c r="AD19" s="92" t="s">
        <v>256</v>
      </c>
      <c r="AE19" s="657" t="s">
        <v>256</v>
      </c>
      <c r="AF19" s="92" t="s">
        <v>256</v>
      </c>
      <c r="AG19" s="92" t="s">
        <v>256</v>
      </c>
      <c r="AH19" s="658" t="s">
        <v>256</v>
      </c>
      <c r="AI19" s="92" t="s">
        <v>256</v>
      </c>
      <c r="AJ19" s="92" t="s">
        <v>256</v>
      </c>
      <c r="AK19" s="92" t="s">
        <v>256</v>
      </c>
      <c r="AL19" s="92" t="s">
        <v>256</v>
      </c>
      <c r="AM19" s="657" t="s">
        <v>256</v>
      </c>
      <c r="AN19" s="92" t="s">
        <v>256</v>
      </c>
      <c r="AO19" s="92" t="s">
        <v>256</v>
      </c>
      <c r="AP19" s="658" t="s">
        <v>256</v>
      </c>
      <c r="AQ19" s="92" t="s">
        <v>256</v>
      </c>
      <c r="AR19" s="92" t="s">
        <v>256</v>
      </c>
      <c r="AS19" s="92" t="s">
        <v>256</v>
      </c>
      <c r="AT19" s="658" t="s">
        <v>256</v>
      </c>
      <c r="AU19" s="92" t="s">
        <v>256</v>
      </c>
      <c r="AV19" s="68">
        <v>31.9</v>
      </c>
      <c r="AW19" s="92" t="s">
        <v>256</v>
      </c>
      <c r="AX19" s="658" t="s">
        <v>256</v>
      </c>
      <c r="AY19" s="92" t="s">
        <v>256</v>
      </c>
      <c r="AZ19" s="68">
        <v>-17.7</v>
      </c>
      <c r="BA19" s="68">
        <v>-30.1</v>
      </c>
      <c r="BB19" s="656">
        <v>-28.8</v>
      </c>
      <c r="BC19" s="68">
        <v>0</v>
      </c>
      <c r="BD19" s="68">
        <v>5.3</v>
      </c>
      <c r="BE19" s="68"/>
      <c r="BF19" s="656"/>
      <c r="BG19" s="934"/>
      <c r="BH19" s="540"/>
      <c r="BI19" s="540"/>
    </row>
    <row r="20" spans="1:61" ht="26">
      <c r="A20" s="70" t="s">
        <v>322</v>
      </c>
      <c r="B20" s="672" t="s">
        <v>323</v>
      </c>
      <c r="C20" s="68">
        <v>-0.73</v>
      </c>
      <c r="D20" s="68">
        <v>-1.5010000000000001</v>
      </c>
      <c r="E20" s="68">
        <v>-2.044</v>
      </c>
      <c r="F20" s="68">
        <v>-2.8970000000000002</v>
      </c>
      <c r="G20" s="655">
        <v>-0.76200000000000001</v>
      </c>
      <c r="H20" s="68">
        <v>-1.58</v>
      </c>
      <c r="I20" s="68">
        <v>-2.3290000000000002</v>
      </c>
      <c r="J20" s="656">
        <v>-2.9239999999999999</v>
      </c>
      <c r="K20" s="68">
        <v>-0.63300000000000001</v>
      </c>
      <c r="L20" s="68">
        <v>-1.3</v>
      </c>
      <c r="M20" s="68">
        <v>-2</v>
      </c>
      <c r="N20" s="68">
        <v>-2.6</v>
      </c>
      <c r="O20" s="655">
        <v>-0.5</v>
      </c>
      <c r="P20" s="68">
        <v>-1.4</v>
      </c>
      <c r="Q20" s="68">
        <v>-1.9</v>
      </c>
      <c r="R20" s="656">
        <v>-2.6</v>
      </c>
      <c r="S20" s="68">
        <v>-0.8</v>
      </c>
      <c r="T20" s="68">
        <v>0</v>
      </c>
      <c r="U20" s="68">
        <v>0</v>
      </c>
      <c r="V20" s="68">
        <v>0</v>
      </c>
      <c r="W20" s="657" t="s">
        <v>256</v>
      </c>
      <c r="X20" s="92" t="s">
        <v>256</v>
      </c>
      <c r="Y20" s="92" t="s">
        <v>256</v>
      </c>
      <c r="Z20" s="658" t="s">
        <v>256</v>
      </c>
      <c r="AA20" s="92" t="s">
        <v>256</v>
      </c>
      <c r="AB20" s="92" t="s">
        <v>256</v>
      </c>
      <c r="AC20" s="92" t="s">
        <v>256</v>
      </c>
      <c r="AD20" s="92" t="s">
        <v>256</v>
      </c>
      <c r="AE20" s="657" t="s">
        <v>256</v>
      </c>
      <c r="AF20" s="92" t="s">
        <v>256</v>
      </c>
      <c r="AG20" s="92" t="s">
        <v>256</v>
      </c>
      <c r="AH20" s="658" t="s">
        <v>256</v>
      </c>
      <c r="AI20" s="92" t="s">
        <v>256</v>
      </c>
      <c r="AJ20" s="92" t="s">
        <v>256</v>
      </c>
      <c r="AK20" s="92" t="s">
        <v>256</v>
      </c>
      <c r="AL20" s="92" t="s">
        <v>256</v>
      </c>
      <c r="AM20" s="657" t="s">
        <v>256</v>
      </c>
      <c r="AN20" s="92" t="s">
        <v>256</v>
      </c>
      <c r="AO20" s="92" t="s">
        <v>256</v>
      </c>
      <c r="AP20" s="658" t="s">
        <v>256</v>
      </c>
      <c r="AQ20" s="92" t="s">
        <v>256</v>
      </c>
      <c r="AR20" s="92" t="s">
        <v>256</v>
      </c>
      <c r="AS20" s="92" t="s">
        <v>256</v>
      </c>
      <c r="AT20" s="658" t="s">
        <v>256</v>
      </c>
      <c r="AU20" s="92" t="s">
        <v>256</v>
      </c>
      <c r="AV20" s="92" t="s">
        <v>256</v>
      </c>
      <c r="AW20" s="92" t="s">
        <v>256</v>
      </c>
      <c r="AX20" s="658" t="s">
        <v>256</v>
      </c>
      <c r="AY20" s="92" t="s">
        <v>256</v>
      </c>
      <c r="AZ20" s="92" t="s">
        <v>256</v>
      </c>
      <c r="BA20" s="92" t="s">
        <v>256</v>
      </c>
      <c r="BB20" s="658" t="s">
        <v>256</v>
      </c>
      <c r="BC20" s="92" t="s">
        <v>256</v>
      </c>
      <c r="BD20" s="92" t="s">
        <v>256</v>
      </c>
      <c r="BE20" s="92"/>
      <c r="BF20" s="658"/>
      <c r="BG20" s="934"/>
      <c r="BH20" s="540"/>
      <c r="BI20" s="540"/>
    </row>
    <row r="21" spans="1:61" ht="26">
      <c r="A21" s="194" t="s">
        <v>324</v>
      </c>
      <c r="B21" s="673" t="s">
        <v>325</v>
      </c>
      <c r="C21" s="68">
        <v>-0.73</v>
      </c>
      <c r="D21" s="68"/>
      <c r="E21" s="68"/>
      <c r="F21" s="68"/>
      <c r="G21" s="655"/>
      <c r="H21" s="68"/>
      <c r="I21" s="68"/>
      <c r="J21" s="656"/>
      <c r="K21" s="68"/>
      <c r="L21" s="68"/>
      <c r="M21" s="68"/>
      <c r="N21" s="68"/>
      <c r="O21" s="655"/>
      <c r="P21" s="68"/>
      <c r="Q21" s="68"/>
      <c r="R21" s="656"/>
      <c r="S21" s="68"/>
      <c r="T21" s="68"/>
      <c r="U21" s="68"/>
      <c r="V21" s="68">
        <v>0</v>
      </c>
      <c r="W21" s="657"/>
      <c r="X21" s="92"/>
      <c r="Y21" s="92"/>
      <c r="Z21" s="656">
        <v>-2.8</v>
      </c>
      <c r="AA21" s="68">
        <v>-5.2</v>
      </c>
      <c r="AB21" s="68">
        <v>-5.0999999999999996</v>
      </c>
      <c r="AC21" s="68">
        <v>-1.6</v>
      </c>
      <c r="AD21" s="68">
        <v>1.2</v>
      </c>
      <c r="AE21" s="655">
        <v>1.7</v>
      </c>
      <c r="AF21" s="68">
        <v>3.6</v>
      </c>
      <c r="AG21" s="68">
        <v>4.9000000000000004</v>
      </c>
      <c r="AH21" s="656">
        <v>6.5</v>
      </c>
      <c r="AI21" s="68">
        <v>1.7</v>
      </c>
      <c r="AJ21" s="68">
        <v>3.6</v>
      </c>
      <c r="AK21" s="68">
        <v>4.9000000000000004</v>
      </c>
      <c r="AL21" s="68">
        <v>6.5</v>
      </c>
      <c r="AM21" s="655">
        <v>-16.3</v>
      </c>
      <c r="AN21" s="68">
        <v>-34.1</v>
      </c>
      <c r="AO21" s="68">
        <v>-47.6</v>
      </c>
      <c r="AP21" s="656">
        <v>-2</v>
      </c>
      <c r="AQ21" s="68">
        <v>-16.5</v>
      </c>
      <c r="AR21" s="68">
        <v>-41.5</v>
      </c>
      <c r="AS21" s="68">
        <v>-64</v>
      </c>
      <c r="AT21" s="656">
        <v>-75.400000000000006</v>
      </c>
      <c r="AU21" s="68">
        <v>-14.7</v>
      </c>
      <c r="AV21" s="68">
        <v>-38.9</v>
      </c>
      <c r="AW21" s="68">
        <v>-62.7</v>
      </c>
      <c r="AX21" s="663">
        <v>-94.5</v>
      </c>
      <c r="AY21" s="68">
        <v>-20.3</v>
      </c>
      <c r="AZ21" s="68">
        <v>-10.4</v>
      </c>
      <c r="BA21" s="68">
        <v>-29.7</v>
      </c>
      <c r="BB21" s="656">
        <v>-29.7</v>
      </c>
      <c r="BC21" s="68">
        <v>0</v>
      </c>
      <c r="BD21" s="68">
        <v>-0.1</v>
      </c>
      <c r="BE21" s="68"/>
      <c r="BF21" s="656"/>
      <c r="BG21" s="934"/>
      <c r="BH21" s="540"/>
      <c r="BI21" s="540"/>
    </row>
    <row r="22" spans="1:61" ht="20.149999999999999" customHeight="1">
      <c r="A22" s="70" t="s">
        <v>326</v>
      </c>
      <c r="B22" s="672" t="s">
        <v>327</v>
      </c>
      <c r="C22" s="68">
        <v>-87.786000000000001</v>
      </c>
      <c r="D22" s="68">
        <v>-51.798000000000002</v>
      </c>
      <c r="E22" s="68">
        <v>-102.06700000000001</v>
      </c>
      <c r="F22" s="68">
        <v>-111.07600000000001</v>
      </c>
      <c r="G22" s="655">
        <v>25.975999999999999</v>
      </c>
      <c r="H22" s="68">
        <v>77.412999999999997</v>
      </c>
      <c r="I22" s="68">
        <v>39.252000000000002</v>
      </c>
      <c r="J22" s="656">
        <v>16.294</v>
      </c>
      <c r="K22" s="68">
        <v>10.337</v>
      </c>
      <c r="L22" s="68">
        <v>8.8000000000000007</v>
      </c>
      <c r="M22" s="68">
        <v>164.9</v>
      </c>
      <c r="N22" s="68">
        <v>369.9</v>
      </c>
      <c r="O22" s="655">
        <v>37.1</v>
      </c>
      <c r="P22" s="68">
        <v>99.2</v>
      </c>
      <c r="Q22" s="68">
        <v>135.80000000000001</v>
      </c>
      <c r="R22" s="656">
        <v>222</v>
      </c>
      <c r="S22" s="68">
        <v>250.2</v>
      </c>
      <c r="T22" s="68">
        <v>276.10000000000002</v>
      </c>
      <c r="U22" s="68">
        <v>258.3</v>
      </c>
      <c r="V22" s="68">
        <v>270.89999999999998</v>
      </c>
      <c r="W22" s="655">
        <v>-28.4</v>
      </c>
      <c r="X22" s="68">
        <v>-27.4</v>
      </c>
      <c r="Y22" s="68">
        <v>-15.1</v>
      </c>
      <c r="Z22" s="656">
        <v>-31.1</v>
      </c>
      <c r="AA22" s="68">
        <v>4.5999999999999996</v>
      </c>
      <c r="AB22" s="68">
        <v>24.1</v>
      </c>
      <c r="AC22" s="68">
        <v>11.1</v>
      </c>
      <c r="AD22" s="68">
        <v>15.8</v>
      </c>
      <c r="AE22" s="655">
        <v>1.1000000000000001</v>
      </c>
      <c r="AF22" s="68">
        <v>-3.3</v>
      </c>
      <c r="AG22" s="68">
        <v>5.7</v>
      </c>
      <c r="AH22" s="656">
        <v>-2.2999999999999998</v>
      </c>
      <c r="AI22" s="68">
        <v>1.9</v>
      </c>
      <c r="AJ22" s="68">
        <v>-6.3</v>
      </c>
      <c r="AK22" s="68">
        <v>12.2</v>
      </c>
      <c r="AL22" s="68">
        <v>-4.8</v>
      </c>
      <c r="AM22" s="655">
        <v>41.2</v>
      </c>
      <c r="AN22" s="68">
        <v>29.4</v>
      </c>
      <c r="AO22" s="68">
        <v>35.9</v>
      </c>
      <c r="AP22" s="656">
        <v>45.8</v>
      </c>
      <c r="AQ22" s="68">
        <v>8.3000000000000007</v>
      </c>
      <c r="AR22" s="68">
        <v>-9.1</v>
      </c>
      <c r="AS22" s="68">
        <v>0.2</v>
      </c>
      <c r="AT22" s="656">
        <v>-1.9</v>
      </c>
      <c r="AU22" s="68">
        <v>2.6</v>
      </c>
      <c r="AV22" s="68">
        <v>6.9</v>
      </c>
      <c r="AW22" s="68">
        <v>18.600000000000001</v>
      </c>
      <c r="AX22" s="656">
        <v>14.6</v>
      </c>
      <c r="AY22" s="68">
        <v>0.1</v>
      </c>
      <c r="AZ22" s="68">
        <v>-19.7</v>
      </c>
      <c r="BA22" s="68">
        <v>43.3</v>
      </c>
      <c r="BB22" s="656">
        <v>-119.8</v>
      </c>
      <c r="BC22" s="68">
        <v>-20.5</v>
      </c>
      <c r="BD22" s="68">
        <v>-17.3</v>
      </c>
      <c r="BE22" s="68"/>
      <c r="BF22" s="656"/>
      <c r="BG22" s="998"/>
      <c r="BH22" s="999"/>
      <c r="BI22" s="999"/>
    </row>
    <row r="23" spans="1:61" ht="20.149999999999999" customHeight="1">
      <c r="A23" s="70" t="s">
        <v>328</v>
      </c>
      <c r="B23" s="672" t="s">
        <v>84</v>
      </c>
      <c r="C23" s="68">
        <v>41.158999999999999</v>
      </c>
      <c r="D23" s="68">
        <v>54.56</v>
      </c>
      <c r="E23" s="68">
        <v>80.768000000000001</v>
      </c>
      <c r="F23" s="68">
        <v>97.349000000000004</v>
      </c>
      <c r="G23" s="655">
        <v>14.031000000000001</v>
      </c>
      <c r="H23" s="68">
        <v>27.457000000000001</v>
      </c>
      <c r="I23" s="68">
        <v>51.835000000000001</v>
      </c>
      <c r="J23" s="656">
        <v>67.376000000000005</v>
      </c>
      <c r="K23" s="68">
        <v>14.384</v>
      </c>
      <c r="L23" s="68">
        <v>31.1</v>
      </c>
      <c r="M23" s="68">
        <v>32.200000000000003</v>
      </c>
      <c r="N23" s="68">
        <v>21.7</v>
      </c>
      <c r="O23" s="655">
        <v>26</v>
      </c>
      <c r="P23" s="68">
        <v>71.900000000000006</v>
      </c>
      <c r="Q23" s="68">
        <v>182.7</v>
      </c>
      <c r="R23" s="656">
        <v>169</v>
      </c>
      <c r="S23" s="68">
        <v>27.2</v>
      </c>
      <c r="T23" s="68">
        <v>48.4</v>
      </c>
      <c r="U23" s="68">
        <v>113.5</v>
      </c>
      <c r="V23" s="68">
        <v>12.4</v>
      </c>
      <c r="W23" s="655">
        <v>30.8</v>
      </c>
      <c r="X23" s="68">
        <v>138.4</v>
      </c>
      <c r="Y23" s="68">
        <v>192.6</v>
      </c>
      <c r="Z23" s="656">
        <v>389.8</v>
      </c>
      <c r="AA23" s="68">
        <v>72.5</v>
      </c>
      <c r="AB23" s="68">
        <v>171.8</v>
      </c>
      <c r="AC23" s="68">
        <v>247.8</v>
      </c>
      <c r="AD23" s="68">
        <v>490</v>
      </c>
      <c r="AE23" s="655">
        <v>78</v>
      </c>
      <c r="AF23" s="68">
        <v>164.9</v>
      </c>
      <c r="AG23" s="68">
        <v>236.9</v>
      </c>
      <c r="AH23" s="656">
        <v>355.8</v>
      </c>
      <c r="AI23" s="68">
        <v>77.3</v>
      </c>
      <c r="AJ23" s="68">
        <v>163.80000000000001</v>
      </c>
      <c r="AK23" s="68">
        <v>233.3</v>
      </c>
      <c r="AL23" s="68">
        <v>353</v>
      </c>
      <c r="AM23" s="655">
        <v>66.7</v>
      </c>
      <c r="AN23" s="68">
        <v>139</v>
      </c>
      <c r="AO23" s="68">
        <v>220.6</v>
      </c>
      <c r="AP23" s="656">
        <v>295.89999999999998</v>
      </c>
      <c r="AQ23" s="68">
        <v>108.1</v>
      </c>
      <c r="AR23" s="68">
        <v>222.4</v>
      </c>
      <c r="AS23" s="68">
        <v>1156.4000000000001</v>
      </c>
      <c r="AT23" s="656">
        <v>1251.5999999999999</v>
      </c>
      <c r="AU23" s="68">
        <v>52.3</v>
      </c>
      <c r="AV23" s="68">
        <v>94.6</v>
      </c>
      <c r="AW23" s="68">
        <v>160.80000000000001</v>
      </c>
      <c r="AX23" s="656">
        <v>209.2</v>
      </c>
      <c r="AY23" s="68">
        <v>13.1</v>
      </c>
      <c r="AZ23" s="68">
        <v>45.2</v>
      </c>
      <c r="BA23" s="68">
        <v>114.1</v>
      </c>
      <c r="BB23" s="656">
        <v>110.2</v>
      </c>
      <c r="BC23" s="68">
        <v>86.3</v>
      </c>
      <c r="BD23" s="68">
        <v>124</v>
      </c>
      <c r="BE23" s="68"/>
      <c r="BF23" s="656"/>
      <c r="BG23" s="998"/>
      <c r="BH23" s="999"/>
      <c r="BI23" s="999"/>
    </row>
    <row r="24" spans="1:61" ht="20.149999999999999" customHeight="1">
      <c r="A24" s="70" t="s">
        <v>329</v>
      </c>
      <c r="B24" s="673" t="s">
        <v>330</v>
      </c>
      <c r="C24" s="68">
        <v>-38.363</v>
      </c>
      <c r="D24" s="68">
        <v>-76.626000000000005</v>
      </c>
      <c r="E24" s="68">
        <v>-120.02500000000001</v>
      </c>
      <c r="F24" s="68">
        <v>-164.00800000000001</v>
      </c>
      <c r="G24" s="655">
        <v>-40.92</v>
      </c>
      <c r="H24" s="68">
        <v>-81.858999999999995</v>
      </c>
      <c r="I24" s="68">
        <v>-116.813</v>
      </c>
      <c r="J24" s="656">
        <v>-158.85900000000001</v>
      </c>
      <c r="K24" s="68">
        <v>-30.564</v>
      </c>
      <c r="L24" s="68">
        <v>-65.3</v>
      </c>
      <c r="M24" s="68">
        <v>-142.1</v>
      </c>
      <c r="N24" s="68">
        <v>-193.1</v>
      </c>
      <c r="O24" s="655">
        <v>-43.6</v>
      </c>
      <c r="P24" s="68">
        <v>-72.2</v>
      </c>
      <c r="Q24" s="68">
        <v>-96.7</v>
      </c>
      <c r="R24" s="656">
        <v>-134.69999999999999</v>
      </c>
      <c r="S24" s="68">
        <v>-31.1</v>
      </c>
      <c r="T24" s="68">
        <v>-71.2</v>
      </c>
      <c r="U24" s="68">
        <v>-111</v>
      </c>
      <c r="V24" s="68">
        <v>-153</v>
      </c>
      <c r="W24" s="655">
        <v>-33.1</v>
      </c>
      <c r="X24" s="68">
        <v>-65.599999999999994</v>
      </c>
      <c r="Y24" s="68">
        <v>-97.4</v>
      </c>
      <c r="Z24" s="656">
        <v>-137.5</v>
      </c>
      <c r="AA24" s="68">
        <v>-25.7</v>
      </c>
      <c r="AB24" s="68">
        <v>-42.9</v>
      </c>
      <c r="AC24" s="68">
        <v>-61.2</v>
      </c>
      <c r="AD24" s="68">
        <v>-83.9</v>
      </c>
      <c r="AE24" s="655">
        <v>-25.8</v>
      </c>
      <c r="AF24" s="68">
        <v>-48.8</v>
      </c>
      <c r="AG24" s="68">
        <v>-79.5</v>
      </c>
      <c r="AH24" s="656">
        <v>-122.8</v>
      </c>
      <c r="AI24" s="68">
        <v>-25.8</v>
      </c>
      <c r="AJ24" s="68">
        <v>-48.8</v>
      </c>
      <c r="AK24" s="68">
        <v>-79.5</v>
      </c>
      <c r="AL24" s="68">
        <v>-122.8</v>
      </c>
      <c r="AM24" s="655">
        <v>-33.1</v>
      </c>
      <c r="AN24" s="68">
        <v>-71</v>
      </c>
      <c r="AO24" s="68">
        <v>-112.2</v>
      </c>
      <c r="AP24" s="656">
        <v>-147.1</v>
      </c>
      <c r="AQ24" s="68">
        <v>-33.9</v>
      </c>
      <c r="AR24" s="68">
        <v>-55.5</v>
      </c>
      <c r="AS24" s="68">
        <v>-78.099999999999994</v>
      </c>
      <c r="AT24" s="656">
        <v>-110</v>
      </c>
      <c r="AU24" s="68">
        <v>-37.700000000000003</v>
      </c>
      <c r="AV24" s="68">
        <v>-66.400000000000006</v>
      </c>
      <c r="AW24" s="68">
        <v>-84.5</v>
      </c>
      <c r="AX24" s="656">
        <v>-113.1</v>
      </c>
      <c r="AY24" s="68">
        <v>-24.8</v>
      </c>
      <c r="AZ24" s="68">
        <v>-47.2</v>
      </c>
      <c r="BA24" s="68">
        <v>-89.5</v>
      </c>
      <c r="BB24" s="656">
        <v>-145.80000000000001</v>
      </c>
      <c r="BC24" s="68">
        <v>-45.8</v>
      </c>
      <c r="BD24" s="68">
        <v>-78.599999999999994</v>
      </c>
      <c r="BE24" s="68"/>
      <c r="BF24" s="656"/>
      <c r="BG24" s="934"/>
      <c r="BH24" s="540"/>
      <c r="BI24" s="540"/>
    </row>
    <row r="25" spans="1:61" ht="39">
      <c r="A25" s="70" t="s">
        <v>331</v>
      </c>
      <c r="B25" s="672" t="s">
        <v>332</v>
      </c>
      <c r="C25" s="69">
        <v>0</v>
      </c>
      <c r="D25" s="69">
        <v>0</v>
      </c>
      <c r="E25" s="69">
        <v>0</v>
      </c>
      <c r="F25" s="69">
        <v>0</v>
      </c>
      <c r="G25" s="676">
        <v>0</v>
      </c>
      <c r="H25" s="69">
        <v>0</v>
      </c>
      <c r="I25" s="69">
        <v>0</v>
      </c>
      <c r="J25" s="677">
        <v>0</v>
      </c>
      <c r="K25" s="69">
        <v>0</v>
      </c>
      <c r="L25" s="68">
        <v>82.1</v>
      </c>
      <c r="M25" s="68">
        <v>82.1</v>
      </c>
      <c r="N25" s="68">
        <v>82.1</v>
      </c>
      <c r="O25" s="655">
        <v>0</v>
      </c>
      <c r="P25" s="68">
        <v>0</v>
      </c>
      <c r="Q25" s="68">
        <v>-371.4</v>
      </c>
      <c r="R25" s="656">
        <v>-371.4</v>
      </c>
      <c r="S25" s="68">
        <v>0</v>
      </c>
      <c r="T25" s="68">
        <v>0</v>
      </c>
      <c r="U25" s="68">
        <v>0</v>
      </c>
      <c r="V25" s="68">
        <v>0</v>
      </c>
      <c r="W25" s="655">
        <v>0</v>
      </c>
      <c r="X25" s="68">
        <v>0</v>
      </c>
      <c r="Y25" s="68">
        <v>0</v>
      </c>
      <c r="Z25" s="656">
        <v>0</v>
      </c>
      <c r="AA25" s="68">
        <v>0</v>
      </c>
      <c r="AB25" s="68">
        <v>0</v>
      </c>
      <c r="AC25" s="68">
        <v>0</v>
      </c>
      <c r="AD25" s="68">
        <v>0</v>
      </c>
      <c r="AE25" s="655">
        <v>0</v>
      </c>
      <c r="AF25" s="68">
        <v>0</v>
      </c>
      <c r="AG25" s="68">
        <v>0</v>
      </c>
      <c r="AH25" s="656">
        <v>0</v>
      </c>
      <c r="AI25" s="68">
        <v>0</v>
      </c>
      <c r="AJ25" s="68">
        <v>0</v>
      </c>
      <c r="AK25" s="68">
        <v>0</v>
      </c>
      <c r="AL25" s="68">
        <v>0</v>
      </c>
      <c r="AM25" s="655">
        <v>0</v>
      </c>
      <c r="AN25" s="68">
        <v>0</v>
      </c>
      <c r="AO25" s="68">
        <v>0</v>
      </c>
      <c r="AP25" s="656">
        <v>0</v>
      </c>
      <c r="AQ25" s="68">
        <v>0</v>
      </c>
      <c r="AR25" s="68">
        <v>0</v>
      </c>
      <c r="AS25" s="68">
        <v>0</v>
      </c>
      <c r="AT25" s="656">
        <v>0</v>
      </c>
      <c r="AU25" s="68">
        <v>0</v>
      </c>
      <c r="AV25" s="68">
        <v>0</v>
      </c>
      <c r="AW25" s="68">
        <v>0</v>
      </c>
      <c r="AX25" s="656">
        <v>0</v>
      </c>
      <c r="AY25" s="68">
        <v>0</v>
      </c>
      <c r="AZ25" s="68"/>
      <c r="BA25" s="68"/>
      <c r="BB25" s="656"/>
      <c r="BC25" s="68">
        <v>0</v>
      </c>
      <c r="BD25" s="68">
        <v>0</v>
      </c>
      <c r="BE25" s="68"/>
      <c r="BF25" s="656"/>
      <c r="BG25" s="934"/>
      <c r="BH25" s="540"/>
      <c r="BI25" s="540"/>
    </row>
    <row r="26" spans="1:61" ht="20.149999999999999" customHeight="1">
      <c r="A26" s="70" t="s">
        <v>333</v>
      </c>
      <c r="B26" s="672" t="s">
        <v>334</v>
      </c>
      <c r="C26" s="69"/>
      <c r="D26" s="69"/>
      <c r="E26" s="69"/>
      <c r="F26" s="69"/>
      <c r="G26" s="676"/>
      <c r="H26" s="69"/>
      <c r="I26" s="69"/>
      <c r="J26" s="677"/>
      <c r="K26" s="69"/>
      <c r="L26" s="68"/>
      <c r="M26" s="68"/>
      <c r="N26" s="68"/>
      <c r="O26" s="655"/>
      <c r="P26" s="68"/>
      <c r="Q26" s="68"/>
      <c r="R26" s="656"/>
      <c r="S26" s="68"/>
      <c r="T26" s="68"/>
      <c r="U26" s="68"/>
      <c r="V26" s="68">
        <v>0</v>
      </c>
      <c r="W26" s="655">
        <v>58.7</v>
      </c>
      <c r="X26" s="68">
        <v>58.7</v>
      </c>
      <c r="Y26" s="68">
        <v>58.7</v>
      </c>
      <c r="Z26" s="656">
        <v>58.7</v>
      </c>
      <c r="AA26" s="68">
        <v>0</v>
      </c>
      <c r="AB26" s="68">
        <v>0</v>
      </c>
      <c r="AC26" s="258">
        <v>0</v>
      </c>
      <c r="AD26" s="68">
        <v>0</v>
      </c>
      <c r="AE26" s="655">
        <v>0</v>
      </c>
      <c r="AF26" s="68">
        <v>0</v>
      </c>
      <c r="AG26" s="258">
        <v>0</v>
      </c>
      <c r="AH26" s="656">
        <v>0</v>
      </c>
      <c r="AI26" s="68">
        <v>0</v>
      </c>
      <c r="AJ26" s="68">
        <v>0</v>
      </c>
      <c r="AK26" s="258">
        <v>0</v>
      </c>
      <c r="AL26" s="68">
        <v>0</v>
      </c>
      <c r="AM26" s="655">
        <v>0</v>
      </c>
      <c r="AN26" s="68">
        <v>0</v>
      </c>
      <c r="AO26" s="258">
        <v>0</v>
      </c>
      <c r="AP26" s="656">
        <v>0</v>
      </c>
      <c r="AQ26" s="68">
        <v>0</v>
      </c>
      <c r="AR26" s="68">
        <v>0</v>
      </c>
      <c r="AS26" s="258">
        <v>0</v>
      </c>
      <c r="AT26" s="656">
        <v>0</v>
      </c>
      <c r="AU26" s="68">
        <v>0</v>
      </c>
      <c r="AV26" s="68">
        <v>0</v>
      </c>
      <c r="AW26" s="258">
        <v>0</v>
      </c>
      <c r="AX26" s="656">
        <v>0</v>
      </c>
      <c r="AY26" s="68">
        <v>9.6999999999999993</v>
      </c>
      <c r="AZ26" s="540">
        <v>9.6999999999999993</v>
      </c>
      <c r="BA26" s="540">
        <v>10.1</v>
      </c>
      <c r="BB26" s="656">
        <v>10.1</v>
      </c>
      <c r="BC26" s="68">
        <v>0.4</v>
      </c>
      <c r="BD26" s="540">
        <v>0.4</v>
      </c>
      <c r="BE26" s="540"/>
      <c r="BF26" s="656"/>
      <c r="BG26" s="934"/>
      <c r="BH26" s="540"/>
      <c r="BI26" s="540"/>
    </row>
    <row r="27" spans="1:61" ht="26">
      <c r="A27" s="70" t="s">
        <v>335</v>
      </c>
      <c r="B27" s="672" t="s">
        <v>336</v>
      </c>
      <c r="C27" s="69"/>
      <c r="D27" s="69"/>
      <c r="E27" s="69"/>
      <c r="F27" s="69"/>
      <c r="G27" s="676"/>
      <c r="H27" s="69"/>
      <c r="I27" s="69"/>
      <c r="J27" s="677"/>
      <c r="K27" s="69"/>
      <c r="L27" s="68"/>
      <c r="M27" s="68"/>
      <c r="N27" s="68"/>
      <c r="O27" s="655"/>
      <c r="P27" s="68"/>
      <c r="Q27" s="68"/>
      <c r="R27" s="656"/>
      <c r="S27" s="68"/>
      <c r="T27" s="68"/>
      <c r="U27" s="68"/>
      <c r="V27" s="68"/>
      <c r="W27" s="655"/>
      <c r="X27" s="68"/>
      <c r="Y27" s="68"/>
      <c r="Z27" s="656"/>
      <c r="AA27" s="68"/>
      <c r="AB27" s="68"/>
      <c r="AC27" s="258"/>
      <c r="AD27" s="68"/>
      <c r="AE27" s="655"/>
      <c r="AF27" s="68"/>
      <c r="AG27" s="258"/>
      <c r="AH27" s="656"/>
      <c r="AI27" s="68"/>
      <c r="AJ27" s="68"/>
      <c r="AK27" s="258"/>
      <c r="AL27" s="68"/>
      <c r="AM27" s="655"/>
      <c r="AN27" s="68"/>
      <c r="AO27" s="258"/>
      <c r="AP27" s="656"/>
      <c r="AQ27" s="68"/>
      <c r="AR27" s="68"/>
      <c r="AS27" s="258"/>
      <c r="AT27" s="656"/>
      <c r="AU27" s="68"/>
      <c r="AV27" s="68"/>
      <c r="AW27" s="258"/>
      <c r="AX27" s="656"/>
      <c r="AY27" s="68">
        <v>-19.2</v>
      </c>
      <c r="AZ27" s="68">
        <v>-19.2</v>
      </c>
      <c r="BA27" s="68">
        <v>-20.8</v>
      </c>
      <c r="BB27" s="656">
        <v>-20.8</v>
      </c>
      <c r="BC27" s="68">
        <v>-2.5</v>
      </c>
      <c r="BD27" s="68">
        <v>-2.5</v>
      </c>
      <c r="BE27" s="68"/>
      <c r="BF27" s="656"/>
      <c r="BG27" s="934"/>
      <c r="BH27" s="540"/>
      <c r="BI27" s="540"/>
    </row>
    <row r="28" spans="1:61" ht="20.149999999999999" customHeight="1">
      <c r="A28" s="70" t="s">
        <v>337</v>
      </c>
      <c r="B28" s="672" t="s">
        <v>338</v>
      </c>
      <c r="C28" s="69">
        <v>0</v>
      </c>
      <c r="D28" s="69">
        <v>0</v>
      </c>
      <c r="E28" s="69">
        <v>0</v>
      </c>
      <c r="F28" s="69">
        <v>0</v>
      </c>
      <c r="G28" s="676">
        <v>0</v>
      </c>
      <c r="H28" s="69">
        <v>0</v>
      </c>
      <c r="I28" s="69">
        <v>0</v>
      </c>
      <c r="J28" s="677">
        <v>0</v>
      </c>
      <c r="K28" s="69">
        <v>0</v>
      </c>
      <c r="L28" s="68">
        <v>16.5</v>
      </c>
      <c r="M28" s="68">
        <v>55.4</v>
      </c>
      <c r="N28" s="68">
        <v>84.3</v>
      </c>
      <c r="O28" s="655">
        <v>10.6</v>
      </c>
      <c r="P28" s="68">
        <v>33.9</v>
      </c>
      <c r="Q28" s="68">
        <v>37.6</v>
      </c>
      <c r="R28" s="656">
        <v>53</v>
      </c>
      <c r="S28" s="68">
        <v>-174.6</v>
      </c>
      <c r="T28" s="68">
        <v>-160.19999999999999</v>
      </c>
      <c r="U28" s="68">
        <v>-161.9</v>
      </c>
      <c r="V28" s="68">
        <v>-164.9</v>
      </c>
      <c r="W28" s="655">
        <v>-0.1</v>
      </c>
      <c r="X28" s="68">
        <v>0.9</v>
      </c>
      <c r="Y28" s="68">
        <v>-1.3</v>
      </c>
      <c r="Z28" s="656">
        <v>-1.5</v>
      </c>
      <c r="AA28" s="92" t="s">
        <v>256</v>
      </c>
      <c r="AB28" s="92" t="s">
        <v>256</v>
      </c>
      <c r="AC28" s="92" t="s">
        <v>256</v>
      </c>
      <c r="AD28" s="92" t="s">
        <v>256</v>
      </c>
      <c r="AE28" s="657" t="s">
        <v>256</v>
      </c>
      <c r="AF28" s="92" t="s">
        <v>256</v>
      </c>
      <c r="AG28" s="92" t="s">
        <v>256</v>
      </c>
      <c r="AH28" s="658" t="s">
        <v>256</v>
      </c>
      <c r="AI28" s="92" t="s">
        <v>256</v>
      </c>
      <c r="AJ28" s="92" t="s">
        <v>256</v>
      </c>
      <c r="AK28" s="92" t="s">
        <v>256</v>
      </c>
      <c r="AL28" s="92" t="s">
        <v>256</v>
      </c>
      <c r="AM28" s="657" t="s">
        <v>256</v>
      </c>
      <c r="AN28" s="92" t="s">
        <v>256</v>
      </c>
      <c r="AO28" s="92" t="s">
        <v>256</v>
      </c>
      <c r="AP28" s="658" t="s">
        <v>256</v>
      </c>
      <c r="AQ28" s="92" t="s">
        <v>256</v>
      </c>
      <c r="AR28" s="92" t="s">
        <v>256</v>
      </c>
      <c r="AS28" s="92" t="s">
        <v>256</v>
      </c>
      <c r="AT28" s="658" t="s">
        <v>256</v>
      </c>
      <c r="AU28" s="92" t="s">
        <v>256</v>
      </c>
      <c r="AV28" s="68">
        <v>-27.5</v>
      </c>
      <c r="AW28" s="92" t="s">
        <v>256</v>
      </c>
      <c r="AX28" s="658" t="s">
        <v>256</v>
      </c>
      <c r="AY28" s="92" t="s">
        <v>256</v>
      </c>
      <c r="AZ28" s="68">
        <v>-58.2</v>
      </c>
      <c r="BA28" s="68">
        <v>-38.4</v>
      </c>
      <c r="BB28" s="656">
        <v>6.7</v>
      </c>
      <c r="BC28" s="68">
        <v>0</v>
      </c>
      <c r="BD28" s="68">
        <v>-50.2</v>
      </c>
      <c r="BE28" s="68"/>
      <c r="BF28" s="656"/>
    </row>
    <row r="29" spans="1:61" ht="26">
      <c r="A29" s="70" t="s">
        <v>339</v>
      </c>
      <c r="B29" s="672" t="s">
        <v>69</v>
      </c>
      <c r="C29" s="69"/>
      <c r="D29" s="69"/>
      <c r="E29" s="69"/>
      <c r="F29" s="69"/>
      <c r="G29" s="676"/>
      <c r="H29" s="69"/>
      <c r="I29" s="69"/>
      <c r="J29" s="677"/>
      <c r="K29" s="69"/>
      <c r="L29" s="68"/>
      <c r="M29" s="68"/>
      <c r="N29" s="68"/>
      <c r="O29" s="655"/>
      <c r="P29" s="68"/>
      <c r="Q29" s="68"/>
      <c r="R29" s="656"/>
      <c r="S29" s="68"/>
      <c r="T29" s="68"/>
      <c r="U29" s="68"/>
      <c r="V29" s="68"/>
      <c r="W29" s="655"/>
      <c r="X29" s="68"/>
      <c r="Y29" s="68"/>
      <c r="Z29" s="656"/>
      <c r="AA29" s="92"/>
      <c r="AB29" s="92"/>
      <c r="AC29" s="92"/>
      <c r="AD29" s="92"/>
      <c r="AE29" s="657"/>
      <c r="AF29" s="92"/>
      <c r="AG29" s="92"/>
      <c r="AH29" s="658"/>
      <c r="AI29" s="92"/>
      <c r="AJ29" s="92"/>
      <c r="AK29" s="92"/>
      <c r="AL29" s="92"/>
      <c r="AM29" s="657"/>
      <c r="AN29" s="92"/>
      <c r="AO29" s="92"/>
      <c r="AP29" s="658"/>
      <c r="AQ29" s="92"/>
      <c r="AR29" s="92"/>
      <c r="AS29" s="68">
        <v>-3690.8</v>
      </c>
      <c r="AT29" s="656">
        <v>-3680.6</v>
      </c>
      <c r="AU29" s="92">
        <v>0</v>
      </c>
      <c r="AV29" s="92">
        <v>0</v>
      </c>
      <c r="AW29" s="68">
        <v>-113.4</v>
      </c>
      <c r="AX29" s="656">
        <v>-153.19999999999999</v>
      </c>
      <c r="AY29" s="68">
        <v>0</v>
      </c>
      <c r="AZ29" s="92"/>
      <c r="BA29" s="68">
        <v>-220.1</v>
      </c>
      <c r="BB29" s="656">
        <v>-219.7</v>
      </c>
      <c r="BC29" s="68">
        <v>-10</v>
      </c>
      <c r="BD29" s="68">
        <v>-10</v>
      </c>
      <c r="BE29" s="68"/>
      <c r="BF29" s="656"/>
    </row>
    <row r="30" spans="1:61" ht="26">
      <c r="A30" s="70" t="s">
        <v>340</v>
      </c>
      <c r="B30" s="672" t="s">
        <v>341</v>
      </c>
      <c r="C30" s="69"/>
      <c r="D30" s="69"/>
      <c r="E30" s="69"/>
      <c r="F30" s="69"/>
      <c r="G30" s="676"/>
      <c r="H30" s="69"/>
      <c r="I30" s="69"/>
      <c r="J30" s="677"/>
      <c r="K30" s="69"/>
      <c r="L30" s="68"/>
      <c r="M30" s="68"/>
      <c r="N30" s="68"/>
      <c r="O30" s="655"/>
      <c r="P30" s="68"/>
      <c r="Q30" s="68"/>
      <c r="R30" s="656"/>
      <c r="S30" s="68"/>
      <c r="T30" s="68"/>
      <c r="U30" s="68"/>
      <c r="V30" s="68"/>
      <c r="W30" s="655"/>
      <c r="X30" s="68"/>
      <c r="Y30" s="68"/>
      <c r="Z30" s="656"/>
      <c r="AA30" s="92"/>
      <c r="AB30" s="92"/>
      <c r="AC30" s="92"/>
      <c r="AD30" s="92"/>
      <c r="AE30" s="657"/>
      <c r="AF30" s="92"/>
      <c r="AG30" s="92"/>
      <c r="AH30" s="658"/>
      <c r="AI30" s="92"/>
      <c r="AJ30" s="92"/>
      <c r="AK30" s="92"/>
      <c r="AL30" s="92"/>
      <c r="AM30" s="657">
        <v>0</v>
      </c>
      <c r="AN30" s="68">
        <v>-44.8</v>
      </c>
      <c r="AO30" s="68">
        <v>-44.8</v>
      </c>
      <c r="AP30" s="659">
        <v>-44.8</v>
      </c>
      <c r="AQ30" s="92">
        <v>0</v>
      </c>
      <c r="AR30" s="68">
        <v>0</v>
      </c>
      <c r="AS30" s="68">
        <v>0</v>
      </c>
      <c r="AT30" s="659">
        <v>0</v>
      </c>
      <c r="AU30" s="92">
        <v>0</v>
      </c>
      <c r="AV30" s="68">
        <v>0</v>
      </c>
      <c r="AW30" s="68">
        <v>0</v>
      </c>
      <c r="AX30" s="659">
        <v>0</v>
      </c>
      <c r="AY30" s="92">
        <v>0</v>
      </c>
      <c r="AZ30" s="68"/>
      <c r="BA30" s="68"/>
      <c r="BB30" s="659"/>
      <c r="BC30" s="68">
        <v>0</v>
      </c>
      <c r="BD30" s="68">
        <v>0</v>
      </c>
      <c r="BE30" s="68"/>
      <c r="BF30" s="659"/>
    </row>
    <row r="31" spans="1:61" ht="14.5">
      <c r="A31" s="70" t="s">
        <v>342</v>
      </c>
      <c r="B31" s="672" t="s">
        <v>795</v>
      </c>
      <c r="C31" s="69"/>
      <c r="D31" s="69"/>
      <c r="E31" s="69"/>
      <c r="F31" s="69"/>
      <c r="G31" s="676"/>
      <c r="H31" s="69"/>
      <c r="I31" s="69"/>
      <c r="J31" s="677"/>
      <c r="K31" s="69"/>
      <c r="L31" s="68"/>
      <c r="M31" s="68"/>
      <c r="N31" s="68"/>
      <c r="O31" s="655"/>
      <c r="P31" s="68"/>
      <c r="Q31" s="68"/>
      <c r="R31" s="656"/>
      <c r="S31" s="68"/>
      <c r="T31" s="68"/>
      <c r="U31" s="68"/>
      <c r="V31" s="68"/>
      <c r="W31" s="655"/>
      <c r="X31" s="68"/>
      <c r="Y31" s="68"/>
      <c r="Z31" s="656"/>
      <c r="AA31" s="92"/>
      <c r="AB31" s="92"/>
      <c r="AC31" s="92"/>
      <c r="AD31" s="92"/>
      <c r="AE31" s="657"/>
      <c r="AF31" s="92"/>
      <c r="AG31" s="92"/>
      <c r="AH31" s="658"/>
      <c r="AI31" s="92"/>
      <c r="AJ31" s="92"/>
      <c r="AK31" s="92"/>
      <c r="AL31" s="92"/>
      <c r="AM31" s="657"/>
      <c r="AN31" s="68"/>
      <c r="AO31" s="68"/>
      <c r="AP31" s="659"/>
      <c r="AQ31" s="92"/>
      <c r="AR31" s="68"/>
      <c r="AS31" s="68"/>
      <c r="AT31" s="659"/>
      <c r="AU31" s="92"/>
      <c r="AV31" s="68"/>
      <c r="AW31" s="68"/>
      <c r="AX31" s="659"/>
      <c r="AY31" s="92"/>
      <c r="AZ31" s="68">
        <v>20.8</v>
      </c>
      <c r="BA31" s="68">
        <v>20.8</v>
      </c>
      <c r="BB31" s="656">
        <v>20.8</v>
      </c>
      <c r="BC31" s="68">
        <v>0</v>
      </c>
      <c r="BD31" s="68">
        <v>0</v>
      </c>
      <c r="BE31" s="68"/>
      <c r="BF31" s="656"/>
    </row>
    <row r="32" spans="1:61" ht="14.5">
      <c r="A32" s="70" t="s">
        <v>776</v>
      </c>
      <c r="B32" s="672" t="s">
        <v>794</v>
      </c>
      <c r="C32" s="69"/>
      <c r="D32" s="69"/>
      <c r="E32" s="69"/>
      <c r="F32" s="69"/>
      <c r="G32" s="676"/>
      <c r="H32" s="69"/>
      <c r="I32" s="69"/>
      <c r="J32" s="677"/>
      <c r="K32" s="69"/>
      <c r="L32" s="68"/>
      <c r="M32" s="68"/>
      <c r="N32" s="68"/>
      <c r="O32" s="655"/>
      <c r="P32" s="68"/>
      <c r="Q32" s="68"/>
      <c r="R32" s="656"/>
      <c r="S32" s="68"/>
      <c r="T32" s="68"/>
      <c r="U32" s="68"/>
      <c r="V32" s="68"/>
      <c r="W32" s="655"/>
      <c r="X32" s="68"/>
      <c r="Y32" s="68"/>
      <c r="Z32" s="656"/>
      <c r="AA32" s="92"/>
      <c r="AB32" s="92"/>
      <c r="AC32" s="92"/>
      <c r="AD32" s="92"/>
      <c r="AE32" s="657"/>
      <c r="AF32" s="92"/>
      <c r="AG32" s="92"/>
      <c r="AH32" s="658"/>
      <c r="AI32" s="92"/>
      <c r="AJ32" s="92"/>
      <c r="AK32" s="92"/>
      <c r="AL32" s="92"/>
      <c r="AM32" s="657"/>
      <c r="AN32" s="68"/>
      <c r="AO32" s="68"/>
      <c r="AP32" s="659"/>
      <c r="AQ32" s="92"/>
      <c r="AR32" s="68"/>
      <c r="AS32" s="68"/>
      <c r="AT32" s="659"/>
      <c r="AU32" s="92"/>
      <c r="AV32" s="68"/>
      <c r="AW32" s="68"/>
      <c r="AX32" s="659"/>
      <c r="AY32" s="92"/>
      <c r="AZ32" s="68"/>
      <c r="BA32" s="68"/>
      <c r="BB32" s="656"/>
      <c r="BC32" s="68"/>
      <c r="BD32" s="68">
        <v>-30.8</v>
      </c>
      <c r="BE32" s="68"/>
      <c r="BF32" s="656"/>
    </row>
    <row r="33" spans="1:61" ht="14.5">
      <c r="A33" s="70" t="s">
        <v>789</v>
      </c>
      <c r="B33" s="672" t="s">
        <v>792</v>
      </c>
      <c r="C33" s="69"/>
      <c r="D33" s="69"/>
      <c r="E33" s="69"/>
      <c r="F33" s="69"/>
      <c r="G33" s="676"/>
      <c r="H33" s="69"/>
      <c r="I33" s="69"/>
      <c r="J33" s="677"/>
      <c r="K33" s="69"/>
      <c r="L33" s="68"/>
      <c r="M33" s="68"/>
      <c r="N33" s="68"/>
      <c r="O33" s="655"/>
      <c r="P33" s="68"/>
      <c r="Q33" s="68"/>
      <c r="R33" s="656"/>
      <c r="S33" s="68"/>
      <c r="T33" s="68"/>
      <c r="U33" s="68"/>
      <c r="V33" s="68"/>
      <c r="W33" s="655"/>
      <c r="X33" s="68"/>
      <c r="Y33" s="68"/>
      <c r="Z33" s="656"/>
      <c r="AA33" s="92"/>
      <c r="AB33" s="92"/>
      <c r="AC33" s="92"/>
      <c r="AD33" s="92"/>
      <c r="AE33" s="657"/>
      <c r="AF33" s="92"/>
      <c r="AG33" s="92"/>
      <c r="AH33" s="658"/>
      <c r="AI33" s="92"/>
      <c r="AJ33" s="92"/>
      <c r="AK33" s="92"/>
      <c r="AL33" s="92"/>
      <c r="AM33" s="657"/>
      <c r="AN33" s="68"/>
      <c r="AO33" s="68"/>
      <c r="AP33" s="659"/>
      <c r="AQ33" s="92"/>
      <c r="AR33" s="68"/>
      <c r="AS33" s="68"/>
      <c r="AT33" s="659"/>
      <c r="AU33" s="92"/>
      <c r="AV33" s="68"/>
      <c r="AW33" s="68"/>
      <c r="AX33" s="659"/>
      <c r="AY33" s="92"/>
      <c r="AZ33" s="68"/>
      <c r="BA33" s="68"/>
      <c r="BB33" s="656"/>
      <c r="BC33" s="68"/>
      <c r="BD33" s="68">
        <v>-58.4</v>
      </c>
      <c r="BE33" s="68"/>
      <c r="BF33" s="656"/>
    </row>
    <row r="34" spans="1:61" ht="14.5">
      <c r="A34" s="70" t="s">
        <v>777</v>
      </c>
      <c r="B34" s="672" t="s">
        <v>793</v>
      </c>
      <c r="C34" s="69"/>
      <c r="D34" s="69"/>
      <c r="E34" s="69"/>
      <c r="F34" s="69"/>
      <c r="G34" s="676"/>
      <c r="H34" s="69"/>
      <c r="I34" s="69"/>
      <c r="J34" s="677"/>
      <c r="K34" s="69"/>
      <c r="L34" s="68"/>
      <c r="M34" s="68"/>
      <c r="N34" s="68"/>
      <c r="O34" s="655"/>
      <c r="P34" s="68"/>
      <c r="Q34" s="68"/>
      <c r="R34" s="656"/>
      <c r="S34" s="68"/>
      <c r="T34" s="68"/>
      <c r="U34" s="68"/>
      <c r="V34" s="68"/>
      <c r="W34" s="655"/>
      <c r="X34" s="68"/>
      <c r="Y34" s="68"/>
      <c r="Z34" s="656"/>
      <c r="AA34" s="92"/>
      <c r="AB34" s="92"/>
      <c r="AC34" s="92"/>
      <c r="AD34" s="92"/>
      <c r="AE34" s="657"/>
      <c r="AF34" s="92"/>
      <c r="AG34" s="92"/>
      <c r="AH34" s="658"/>
      <c r="AI34" s="92"/>
      <c r="AJ34" s="92"/>
      <c r="AK34" s="92"/>
      <c r="AL34" s="92"/>
      <c r="AM34" s="657"/>
      <c r="AN34" s="68"/>
      <c r="AO34" s="68"/>
      <c r="AP34" s="659"/>
      <c r="AQ34" s="92"/>
      <c r="AR34" s="68"/>
      <c r="AS34" s="68"/>
      <c r="AT34" s="659"/>
      <c r="AU34" s="92"/>
      <c r="AV34" s="68"/>
      <c r="AW34" s="68"/>
      <c r="AX34" s="659"/>
      <c r="AY34" s="92"/>
      <c r="AZ34" s="68"/>
      <c r="BA34" s="68"/>
      <c r="BB34" s="656"/>
      <c r="BC34" s="68"/>
      <c r="BD34" s="68">
        <v>-185.1</v>
      </c>
      <c r="BE34" s="68"/>
      <c r="BF34" s="656"/>
    </row>
    <row r="35" spans="1:61" ht="20.149999999999999" customHeight="1" thickBot="1">
      <c r="A35" s="70" t="s">
        <v>343</v>
      </c>
      <c r="B35" s="672" t="s">
        <v>344</v>
      </c>
      <c r="C35" s="68">
        <v>0.245</v>
      </c>
      <c r="D35" s="68">
        <v>0.78500000000000003</v>
      </c>
      <c r="E35" s="68">
        <v>1.31</v>
      </c>
      <c r="F35" s="68">
        <v>3.5380000000000003</v>
      </c>
      <c r="G35" s="655">
        <v>1.484</v>
      </c>
      <c r="H35" s="68">
        <f>4.197+4.842</f>
        <v>9.0389999999999997</v>
      </c>
      <c r="I35" s="68">
        <f>5.852+4.842</f>
        <v>10.693999999999999</v>
      </c>
      <c r="J35" s="656">
        <v>11.93</v>
      </c>
      <c r="K35" s="68">
        <v>1.7790000000000001</v>
      </c>
      <c r="L35" s="68">
        <v>10.8</v>
      </c>
      <c r="M35" s="68">
        <v>11.7</v>
      </c>
      <c r="N35" s="68">
        <v>96.1</v>
      </c>
      <c r="O35" s="655">
        <v>-3</v>
      </c>
      <c r="P35" s="68">
        <v>9</v>
      </c>
      <c r="Q35" s="68">
        <v>19.600000000000001</v>
      </c>
      <c r="R35" s="656">
        <v>21.6</v>
      </c>
      <c r="S35" s="68">
        <v>2.5</v>
      </c>
      <c r="T35" s="68">
        <v>-1.9</v>
      </c>
      <c r="U35" s="68">
        <v>22.5</v>
      </c>
      <c r="V35" s="68">
        <v>24</v>
      </c>
      <c r="W35" s="655">
        <v>-2.1</v>
      </c>
      <c r="X35" s="68">
        <v>18.100000000000001</v>
      </c>
      <c r="Y35" s="68">
        <v>51.1</v>
      </c>
      <c r="Z35" s="656">
        <v>55.5</v>
      </c>
      <c r="AA35" s="68">
        <v>-18.2</v>
      </c>
      <c r="AB35" s="68">
        <v>2.5</v>
      </c>
      <c r="AC35" s="68">
        <v>18.2</v>
      </c>
      <c r="AD35" s="68">
        <v>-97.8</v>
      </c>
      <c r="AE35" s="655">
        <v>1.1000000000000001</v>
      </c>
      <c r="AF35" s="68">
        <v>-6.3</v>
      </c>
      <c r="AG35" s="68">
        <v>64.8</v>
      </c>
      <c r="AH35" s="656">
        <v>68.400000000000006</v>
      </c>
      <c r="AI35" s="68">
        <v>1.1000000000000001</v>
      </c>
      <c r="AJ35" s="68">
        <v>-6.3</v>
      </c>
      <c r="AK35" s="68">
        <v>64.8</v>
      </c>
      <c r="AL35" s="68">
        <v>68.400000000000006</v>
      </c>
      <c r="AM35" s="655">
        <v>-5.4</v>
      </c>
      <c r="AN35" s="68">
        <v>-3.3</v>
      </c>
      <c r="AO35" s="68">
        <v>14.4</v>
      </c>
      <c r="AP35" s="656">
        <v>31</v>
      </c>
      <c r="AQ35" s="68">
        <v>13.1</v>
      </c>
      <c r="AR35" s="68">
        <v>29.8</v>
      </c>
      <c r="AS35" s="68">
        <v>28.8</v>
      </c>
      <c r="AT35" s="656">
        <v>62.1</v>
      </c>
      <c r="AU35" s="68">
        <v>14.1</v>
      </c>
      <c r="AV35" s="68">
        <v>18.399999999999999</v>
      </c>
      <c r="AW35" s="68">
        <v>-13.7</v>
      </c>
      <c r="AX35" s="663">
        <v>-66.7</v>
      </c>
      <c r="AY35" s="68">
        <v>-37.4</v>
      </c>
      <c r="AZ35" s="68">
        <v>-0.4</v>
      </c>
      <c r="BA35" s="68">
        <v>17.7</v>
      </c>
      <c r="BB35" s="656">
        <v>-96.3</v>
      </c>
      <c r="BC35" s="68">
        <v>-60.5</v>
      </c>
      <c r="BD35" s="68">
        <v>-25.4</v>
      </c>
      <c r="BE35" s="68"/>
      <c r="BF35" s="656"/>
    </row>
    <row r="36" spans="1:61" ht="20.149999999999999" customHeight="1" thickBot="1">
      <c r="A36" s="386" t="s">
        <v>345</v>
      </c>
      <c r="B36" s="671" t="s">
        <v>346</v>
      </c>
      <c r="C36" s="387">
        <f t="shared" ref="C36:AB36" si="2">C5+C6</f>
        <v>232.697</v>
      </c>
      <c r="D36" s="387">
        <f t="shared" si="2"/>
        <v>415.61099999999999</v>
      </c>
      <c r="E36" s="387">
        <f t="shared" si="2"/>
        <v>628.7700000000001</v>
      </c>
      <c r="F36" s="388">
        <f t="shared" si="2"/>
        <v>843.21800000000007</v>
      </c>
      <c r="G36" s="653">
        <f t="shared" si="2"/>
        <v>165.66199999999998</v>
      </c>
      <c r="H36" s="388">
        <f t="shared" si="2"/>
        <v>351.928</v>
      </c>
      <c r="I36" s="388">
        <f t="shared" si="2"/>
        <v>548.24399999999991</v>
      </c>
      <c r="J36" s="654">
        <f t="shared" si="2"/>
        <v>859.7349999999999</v>
      </c>
      <c r="K36" s="388">
        <f t="shared" si="2"/>
        <v>184.70400000000001</v>
      </c>
      <c r="L36" s="388">
        <f t="shared" si="2"/>
        <v>735.69999999999982</v>
      </c>
      <c r="M36" s="388">
        <f t="shared" si="2"/>
        <v>1423.9000000000003</v>
      </c>
      <c r="N36" s="388">
        <f t="shared" si="2"/>
        <v>2117.7999999999997</v>
      </c>
      <c r="O36" s="653">
        <f t="shared" si="2"/>
        <v>453.00000000000011</v>
      </c>
      <c r="P36" s="388">
        <f t="shared" si="2"/>
        <v>1327.9999999999995</v>
      </c>
      <c r="Q36" s="388">
        <f t="shared" si="2"/>
        <v>2173.4999999999991</v>
      </c>
      <c r="R36" s="654">
        <f t="shared" si="2"/>
        <v>2985.0999999999995</v>
      </c>
      <c r="S36" s="388">
        <f t="shared" si="2"/>
        <v>584.40000000000009</v>
      </c>
      <c r="T36" s="388">
        <f t="shared" si="2"/>
        <v>1549.4</v>
      </c>
      <c r="U36" s="388">
        <f t="shared" si="2"/>
        <v>2357.5000000000009</v>
      </c>
      <c r="V36" s="388">
        <f t="shared" si="2"/>
        <v>3151.5</v>
      </c>
      <c r="W36" s="653">
        <f t="shared" si="2"/>
        <v>780.70000000000027</v>
      </c>
      <c r="X36" s="388">
        <f t="shared" si="2"/>
        <v>1615.9</v>
      </c>
      <c r="Y36" s="388">
        <f t="shared" si="2"/>
        <v>2245.6999999999998</v>
      </c>
      <c r="Z36" s="654">
        <f t="shared" si="2"/>
        <v>3126.3</v>
      </c>
      <c r="AA36" s="388">
        <f t="shared" si="2"/>
        <v>633.10000000000014</v>
      </c>
      <c r="AB36" s="388">
        <f t="shared" si="2"/>
        <v>1396.9</v>
      </c>
      <c r="AC36" s="388">
        <v>2220.8000000000002</v>
      </c>
      <c r="AD36" s="388">
        <f t="shared" ref="AD36:BC36" si="3">AD5+AD6</f>
        <v>3232.1</v>
      </c>
      <c r="AE36" s="653">
        <f t="shared" si="3"/>
        <v>703.2</v>
      </c>
      <c r="AF36" s="388">
        <f t="shared" si="3"/>
        <v>1554.3000000000002</v>
      </c>
      <c r="AG36" s="388">
        <f t="shared" si="3"/>
        <v>2406.8000000000002</v>
      </c>
      <c r="AH36" s="654">
        <f t="shared" si="3"/>
        <v>3391.8</v>
      </c>
      <c r="AI36" s="388">
        <f t="shared" si="3"/>
        <v>762.2</v>
      </c>
      <c r="AJ36" s="388">
        <f t="shared" si="3"/>
        <v>1709.3000000000002</v>
      </c>
      <c r="AK36" s="388">
        <f t="shared" si="3"/>
        <v>2659.9000000000005</v>
      </c>
      <c r="AL36" s="388">
        <f t="shared" si="3"/>
        <v>3777.8999999999996</v>
      </c>
      <c r="AM36" s="653">
        <f t="shared" si="3"/>
        <v>860.98882651999998</v>
      </c>
      <c r="AN36" s="388">
        <f t="shared" si="3"/>
        <v>1706.8000000000004</v>
      </c>
      <c r="AO36" s="388">
        <f t="shared" si="3"/>
        <v>2655.2999999999997</v>
      </c>
      <c r="AP36" s="654">
        <f t="shared" si="3"/>
        <v>3797.8999999999996</v>
      </c>
      <c r="AQ36" s="388">
        <f t="shared" si="3"/>
        <v>994.30000000000007</v>
      </c>
      <c r="AR36" s="388">
        <f t="shared" si="3"/>
        <v>1885.8999999999999</v>
      </c>
      <c r="AS36" s="388">
        <f t="shared" si="3"/>
        <v>2795.8000000000011</v>
      </c>
      <c r="AT36" s="654">
        <f t="shared" si="3"/>
        <v>3689.699999999998</v>
      </c>
      <c r="AU36" s="388">
        <f t="shared" si="3"/>
        <v>666.80000000000007</v>
      </c>
      <c r="AV36" s="750">
        <f t="shared" si="3"/>
        <v>1493.2999999999997</v>
      </c>
      <c r="AW36" s="388">
        <f t="shared" si="3"/>
        <v>2219.4000000000005</v>
      </c>
      <c r="AX36" s="783">
        <f t="shared" si="3"/>
        <v>2973.5</v>
      </c>
      <c r="AY36" s="388">
        <f t="shared" si="3"/>
        <v>355.70000000000067</v>
      </c>
      <c r="AZ36" s="388">
        <f t="shared" si="3"/>
        <v>1390.8999999999992</v>
      </c>
      <c r="BA36" s="388">
        <f>BA5+BA6</f>
        <v>1665.0999999999995</v>
      </c>
      <c r="BB36" s="783">
        <f t="shared" si="3"/>
        <v>2628.1999999999994</v>
      </c>
      <c r="BC36" s="388">
        <f t="shared" si="3"/>
        <v>800.5</v>
      </c>
      <c r="BD36" s="388">
        <f>BD5+BD6</f>
        <v>1518.6000000000001</v>
      </c>
      <c r="BE36" s="388"/>
      <c r="BF36" s="783"/>
      <c r="BH36" s="233"/>
      <c r="BI36" s="935"/>
    </row>
    <row r="37" spans="1:61" ht="20.149999999999999" customHeight="1">
      <c r="A37" s="70" t="s">
        <v>347</v>
      </c>
      <c r="B37" s="672" t="s">
        <v>348</v>
      </c>
      <c r="C37" s="68">
        <v>-12.561</v>
      </c>
      <c r="D37" s="68">
        <v>-47.188000000000002</v>
      </c>
      <c r="E37" s="68">
        <v>-59.765999999999998</v>
      </c>
      <c r="F37" s="68">
        <v>-78.733000000000004</v>
      </c>
      <c r="G37" s="655">
        <v>-13.763</v>
      </c>
      <c r="H37" s="68">
        <v>-26.318999999999999</v>
      </c>
      <c r="I37" s="68">
        <v>-37.451999999999998</v>
      </c>
      <c r="J37" s="656">
        <v>-67.486000000000004</v>
      </c>
      <c r="K37" s="68">
        <v>-17.809000000000001</v>
      </c>
      <c r="L37" s="68">
        <v>-99.5</v>
      </c>
      <c r="M37" s="68">
        <v>-135.19999999999999</v>
      </c>
      <c r="N37" s="68">
        <v>-189.1</v>
      </c>
      <c r="O37" s="655">
        <v>-48.5</v>
      </c>
      <c r="P37" s="68">
        <v>-44.2</v>
      </c>
      <c r="Q37" s="68">
        <v>-94.2</v>
      </c>
      <c r="R37" s="656">
        <v>-136.19999999999999</v>
      </c>
      <c r="S37" s="68">
        <v>-145.69999999999999</v>
      </c>
      <c r="T37" s="68">
        <v>-186.5</v>
      </c>
      <c r="U37" s="68">
        <v>-236.1</v>
      </c>
      <c r="V37" s="68">
        <v>-292.7</v>
      </c>
      <c r="W37" s="655">
        <v>-43.5</v>
      </c>
      <c r="X37" s="68">
        <v>-112.5</v>
      </c>
      <c r="Y37" s="68">
        <v>-181.5</v>
      </c>
      <c r="Z37" s="656">
        <v>-216.2</v>
      </c>
      <c r="AA37" s="68">
        <v>-70.599999999999994</v>
      </c>
      <c r="AB37" s="68">
        <v>-191.3</v>
      </c>
      <c r="AC37" s="68">
        <v>-265.10000000000002</v>
      </c>
      <c r="AD37" s="68">
        <v>-343.2</v>
      </c>
      <c r="AE37" s="655">
        <v>-66.099999999999994</v>
      </c>
      <c r="AF37" s="68">
        <v>-163</v>
      </c>
      <c r="AG37" s="68">
        <v>-252.5</v>
      </c>
      <c r="AH37" s="656">
        <v>-328.5</v>
      </c>
      <c r="AI37" s="68">
        <v>-66.099999999999994</v>
      </c>
      <c r="AJ37" s="68">
        <v>-163</v>
      </c>
      <c r="AK37" s="68">
        <v>-252.5</v>
      </c>
      <c r="AL37" s="68">
        <v>-328.5</v>
      </c>
      <c r="AM37" s="655">
        <v>-87.1</v>
      </c>
      <c r="AN37" s="68">
        <v>-360.4</v>
      </c>
      <c r="AO37" s="68">
        <v>-438.9</v>
      </c>
      <c r="AP37" s="656">
        <v>-552.9</v>
      </c>
      <c r="AQ37" s="68">
        <v>-106</v>
      </c>
      <c r="AR37" s="68">
        <v>-269.89999999999998</v>
      </c>
      <c r="AS37" s="68">
        <v>-356.9</v>
      </c>
      <c r="AT37" s="656">
        <v>-463</v>
      </c>
      <c r="AU37" s="68">
        <v>-98.9</v>
      </c>
      <c r="AV37" s="68">
        <v>-1079.9000000000001</v>
      </c>
      <c r="AW37" s="68">
        <v>-1175.8</v>
      </c>
      <c r="AX37" s="656">
        <v>-1278.4000000000001</v>
      </c>
      <c r="AY37" s="68">
        <v>-80.5</v>
      </c>
      <c r="AZ37" s="68">
        <v>-197.3</v>
      </c>
      <c r="BA37" s="68">
        <v>-266.5</v>
      </c>
      <c r="BB37" s="656">
        <v>-342.1</v>
      </c>
      <c r="BC37" s="68">
        <v>-67.8</v>
      </c>
      <c r="BD37" s="68">
        <v>-124</v>
      </c>
      <c r="BE37" s="68"/>
      <c r="BF37" s="656"/>
    </row>
    <row r="38" spans="1:61" ht="20.149999999999999" customHeight="1">
      <c r="A38" s="70" t="s">
        <v>349</v>
      </c>
      <c r="B38" s="672" t="s">
        <v>350</v>
      </c>
      <c r="C38" s="68">
        <v>3.843</v>
      </c>
      <c r="D38" s="68">
        <v>8.1440000000000001</v>
      </c>
      <c r="E38" s="68">
        <v>12.96</v>
      </c>
      <c r="F38" s="68">
        <v>16.882000000000001</v>
      </c>
      <c r="G38" s="655">
        <v>3.544</v>
      </c>
      <c r="H38" s="68">
        <v>6.1040000000000001</v>
      </c>
      <c r="I38" s="68">
        <v>8.5630000000000006</v>
      </c>
      <c r="J38" s="656">
        <v>10.41</v>
      </c>
      <c r="K38" s="68">
        <v>2.165</v>
      </c>
      <c r="L38" s="68">
        <v>13.4</v>
      </c>
      <c r="M38" s="68">
        <v>33.1</v>
      </c>
      <c r="N38" s="68">
        <v>45.2</v>
      </c>
      <c r="O38" s="655">
        <v>13.2</v>
      </c>
      <c r="P38" s="68">
        <v>20.5</v>
      </c>
      <c r="Q38" s="68">
        <v>30.5</v>
      </c>
      <c r="R38" s="656">
        <v>38.799999999999997</v>
      </c>
      <c r="S38" s="68">
        <v>8.1</v>
      </c>
      <c r="T38" s="68">
        <v>13.1</v>
      </c>
      <c r="U38" s="68">
        <v>19.5</v>
      </c>
      <c r="V38" s="68">
        <v>25.9</v>
      </c>
      <c r="W38" s="655">
        <v>14.5</v>
      </c>
      <c r="X38" s="68">
        <v>16</v>
      </c>
      <c r="Y38" s="68">
        <v>23.5</v>
      </c>
      <c r="Z38" s="656">
        <v>31.3</v>
      </c>
      <c r="AA38" s="68">
        <v>7.5</v>
      </c>
      <c r="AB38" s="68">
        <v>14.6</v>
      </c>
      <c r="AC38" s="68">
        <v>20.5</v>
      </c>
      <c r="AD38" s="68">
        <v>26.2</v>
      </c>
      <c r="AE38" s="655">
        <v>4.8</v>
      </c>
      <c r="AF38" s="68">
        <v>11.8</v>
      </c>
      <c r="AG38" s="68">
        <v>18.3</v>
      </c>
      <c r="AH38" s="656">
        <v>24</v>
      </c>
      <c r="AI38" s="68">
        <v>4.8</v>
      </c>
      <c r="AJ38" s="68">
        <v>11.8</v>
      </c>
      <c r="AK38" s="68">
        <v>18.3</v>
      </c>
      <c r="AL38" s="68">
        <v>24</v>
      </c>
      <c r="AM38" s="655">
        <v>4.9000000000000004</v>
      </c>
      <c r="AN38" s="68">
        <v>6.8</v>
      </c>
      <c r="AO38" s="68">
        <v>6.7</v>
      </c>
      <c r="AP38" s="656">
        <v>6.7</v>
      </c>
      <c r="AQ38" s="68">
        <v>0.7</v>
      </c>
      <c r="AR38" s="68">
        <v>2.7</v>
      </c>
      <c r="AS38" s="68">
        <v>3.8</v>
      </c>
      <c r="AT38" s="656">
        <v>7.6</v>
      </c>
      <c r="AU38" s="68">
        <v>10.9</v>
      </c>
      <c r="AV38" s="68">
        <v>32.4</v>
      </c>
      <c r="AW38" s="68">
        <v>46.6</v>
      </c>
      <c r="AX38" s="656">
        <v>66.599999999999994</v>
      </c>
      <c r="AY38" s="68">
        <v>24.4</v>
      </c>
      <c r="AZ38" s="68">
        <v>46.1</v>
      </c>
      <c r="BA38" s="68">
        <v>69.7</v>
      </c>
      <c r="BB38" s="656">
        <v>106.3</v>
      </c>
      <c r="BC38" s="68">
        <v>30.5</v>
      </c>
      <c r="BD38" s="68">
        <v>69.3</v>
      </c>
      <c r="BE38" s="68"/>
      <c r="BF38" s="656"/>
    </row>
    <row r="39" spans="1:61" s="264" customFormat="1" ht="25.25" customHeight="1">
      <c r="A39" s="384" t="s">
        <v>351</v>
      </c>
      <c r="B39" s="674" t="s">
        <v>352</v>
      </c>
      <c r="C39" s="385">
        <f t="shared" ref="C39:R39" si="4">SUM(C36:C38)</f>
        <v>223.97899999999998</v>
      </c>
      <c r="D39" s="385">
        <f t="shared" si="4"/>
        <v>376.56700000000001</v>
      </c>
      <c r="E39" s="385">
        <f t="shared" si="4"/>
        <v>581.96400000000017</v>
      </c>
      <c r="F39" s="385">
        <f t="shared" si="4"/>
        <v>781.36700000000008</v>
      </c>
      <c r="G39" s="660">
        <f t="shared" si="4"/>
        <v>155.44299999999998</v>
      </c>
      <c r="H39" s="385">
        <f t="shared" si="4"/>
        <v>331.71299999999997</v>
      </c>
      <c r="I39" s="385">
        <f t="shared" si="4"/>
        <v>519.3549999999999</v>
      </c>
      <c r="J39" s="661">
        <f t="shared" si="4"/>
        <v>802.65899999999988</v>
      </c>
      <c r="K39" s="385">
        <f t="shared" si="4"/>
        <v>169.06</v>
      </c>
      <c r="L39" s="385">
        <f t="shared" si="4"/>
        <v>649.5999999999998</v>
      </c>
      <c r="M39" s="385">
        <f t="shared" si="4"/>
        <v>1321.8000000000002</v>
      </c>
      <c r="N39" s="385">
        <f t="shared" si="4"/>
        <v>1973.8999999999999</v>
      </c>
      <c r="O39" s="660">
        <f t="shared" si="4"/>
        <v>417.7000000000001</v>
      </c>
      <c r="P39" s="385">
        <f t="shared" si="4"/>
        <v>1304.2999999999995</v>
      </c>
      <c r="Q39" s="385">
        <f t="shared" si="4"/>
        <v>2109.7999999999993</v>
      </c>
      <c r="R39" s="661">
        <f t="shared" si="4"/>
        <v>2887.7</v>
      </c>
      <c r="S39" s="385">
        <f t="shared" ref="S39" si="5">SUM(S36:S38)</f>
        <v>446.80000000000013</v>
      </c>
      <c r="T39" s="385">
        <f t="shared" ref="T39:U39" si="6">SUM(T36:T38)</f>
        <v>1376</v>
      </c>
      <c r="U39" s="385">
        <f t="shared" si="6"/>
        <v>2140.900000000001</v>
      </c>
      <c r="V39" s="385">
        <f t="shared" ref="V39:Z39" si="7">SUM(V36:V38)</f>
        <v>2884.7000000000003</v>
      </c>
      <c r="W39" s="660">
        <f t="shared" si="7"/>
        <v>751.70000000000027</v>
      </c>
      <c r="X39" s="385">
        <f t="shared" si="7"/>
        <v>1519.4</v>
      </c>
      <c r="Y39" s="385">
        <f t="shared" si="7"/>
        <v>2087.6999999999998</v>
      </c>
      <c r="Z39" s="661">
        <f t="shared" si="7"/>
        <v>2941.4000000000005</v>
      </c>
      <c r="AA39" s="385">
        <f t="shared" ref="AA39:AD39" si="8">SUM(AA36:AA38)</f>
        <v>570.00000000000011</v>
      </c>
      <c r="AB39" s="385">
        <f>SUM(AB36:AB38)</f>
        <v>1220.2</v>
      </c>
      <c r="AC39" s="385">
        <f>SUM(AC36:AC38)</f>
        <v>1976.2000000000003</v>
      </c>
      <c r="AD39" s="385">
        <f t="shared" si="8"/>
        <v>2915.1</v>
      </c>
      <c r="AE39" s="660">
        <f t="shared" ref="AE39:AH39" si="9">SUM(AE36:AE38)</f>
        <v>641.9</v>
      </c>
      <c r="AF39" s="385">
        <f t="shared" si="9"/>
        <v>1403.1000000000001</v>
      </c>
      <c r="AG39" s="385">
        <f t="shared" si="9"/>
        <v>2172.6000000000004</v>
      </c>
      <c r="AH39" s="661">
        <f t="shared" si="9"/>
        <v>3087.3</v>
      </c>
      <c r="AI39" s="385">
        <f t="shared" ref="AI39:AL39" si="10">SUM(AI36:AI38)</f>
        <v>700.9</v>
      </c>
      <c r="AJ39" s="385">
        <f t="shared" si="10"/>
        <v>1558.1000000000001</v>
      </c>
      <c r="AK39" s="385">
        <f t="shared" si="10"/>
        <v>2425.7000000000007</v>
      </c>
      <c r="AL39" s="385">
        <f t="shared" si="10"/>
        <v>3473.3999999999996</v>
      </c>
      <c r="AM39" s="660">
        <f t="shared" ref="AM39:AP39" si="11">SUM(AM36:AM38)</f>
        <v>778.78882651999993</v>
      </c>
      <c r="AN39" s="385">
        <f t="shared" si="11"/>
        <v>1353.2000000000005</v>
      </c>
      <c r="AO39" s="385">
        <v>2223.1</v>
      </c>
      <c r="AP39" s="661">
        <f t="shared" si="11"/>
        <v>3251.6999999999994</v>
      </c>
      <c r="AQ39" s="385">
        <f t="shared" ref="AQ39:AS39" si="12">SUM(AQ36:AQ38)</f>
        <v>889.00000000000011</v>
      </c>
      <c r="AR39" s="385">
        <f t="shared" si="12"/>
        <v>1618.7</v>
      </c>
      <c r="AS39" s="385">
        <f t="shared" si="12"/>
        <v>2442.7000000000012</v>
      </c>
      <c r="AT39" s="661">
        <f t="shared" ref="AT39:AW39" si="13">SUM(AT36:AT38)</f>
        <v>3234.2999999999979</v>
      </c>
      <c r="AU39" s="385">
        <f t="shared" si="13"/>
        <v>578.80000000000007</v>
      </c>
      <c r="AV39" s="385">
        <f>SUM(AV36:AV38)</f>
        <v>445.79999999999961</v>
      </c>
      <c r="AW39" s="385">
        <f t="shared" si="13"/>
        <v>1090.2000000000005</v>
      </c>
      <c r="AX39" s="661">
        <f t="shared" ref="AX39:AY39" si="14">SUM(AX36:AX38)</f>
        <v>1761.6999999999998</v>
      </c>
      <c r="AY39" s="385">
        <f t="shared" si="14"/>
        <v>299.60000000000065</v>
      </c>
      <c r="AZ39" s="385">
        <f>SUM(AZ36:AZ38)</f>
        <v>1239.6999999999991</v>
      </c>
      <c r="BA39" s="385">
        <f t="shared" ref="BA39:BC39" si="15">SUM(BA36:BA38)</f>
        <v>1468.2999999999995</v>
      </c>
      <c r="BB39" s="661">
        <f t="shared" si="15"/>
        <v>2392.3999999999996</v>
      </c>
      <c r="BC39" s="385">
        <f t="shared" si="15"/>
        <v>763.2</v>
      </c>
      <c r="BD39" s="385">
        <f>SUM(BD36:BD38)</f>
        <v>1463.9</v>
      </c>
      <c r="BE39" s="385"/>
      <c r="BF39" s="661"/>
      <c r="BH39" s="233"/>
      <c r="BI39" s="935"/>
    </row>
    <row r="40" spans="1:61" ht="20.149999999999999" customHeight="1">
      <c r="A40" s="70" t="s">
        <v>353</v>
      </c>
      <c r="B40" s="672" t="s">
        <v>354</v>
      </c>
      <c r="C40" s="68">
        <v>-13.759</v>
      </c>
      <c r="D40" s="68">
        <v>-28.18</v>
      </c>
      <c r="E40" s="68">
        <v>-40.478000000000002</v>
      </c>
      <c r="F40" s="68">
        <v>-54.936999999999998</v>
      </c>
      <c r="G40" s="655">
        <v>-21.702999999999999</v>
      </c>
      <c r="H40" s="68">
        <v>-40.633000000000003</v>
      </c>
      <c r="I40" s="68">
        <v>-53.000999999999998</v>
      </c>
      <c r="J40" s="656">
        <v>-60.844999999999999</v>
      </c>
      <c r="K40" s="68">
        <v>-19.433</v>
      </c>
      <c r="L40" s="68">
        <v>-93</v>
      </c>
      <c r="M40" s="68">
        <v>-180</v>
      </c>
      <c r="N40" s="68">
        <v>-263.60000000000002</v>
      </c>
      <c r="O40" s="655">
        <v>-137.6</v>
      </c>
      <c r="P40" s="68">
        <v>-187</v>
      </c>
      <c r="Q40" s="68">
        <v>-323.2</v>
      </c>
      <c r="R40" s="656">
        <v>-417.8</v>
      </c>
      <c r="S40" s="68">
        <v>-98.4</v>
      </c>
      <c r="T40" s="68">
        <v>-179.5</v>
      </c>
      <c r="U40" s="68">
        <v>-301.2</v>
      </c>
      <c r="V40" s="68">
        <v>-436.2</v>
      </c>
      <c r="W40" s="655">
        <v>-138.9</v>
      </c>
      <c r="X40" s="68">
        <v>-268.8</v>
      </c>
      <c r="Y40" s="68">
        <v>-418.9</v>
      </c>
      <c r="Z40" s="656">
        <v>-524.79999999999995</v>
      </c>
      <c r="AA40" s="68">
        <v>-131.6</v>
      </c>
      <c r="AB40" s="68">
        <v>-266.7</v>
      </c>
      <c r="AC40" s="68">
        <v>-465</v>
      </c>
      <c r="AD40" s="68">
        <v>-624.29999999999995</v>
      </c>
      <c r="AE40" s="655">
        <v>-251.4</v>
      </c>
      <c r="AF40" s="68">
        <v>-433.6</v>
      </c>
      <c r="AG40" s="68">
        <v>-651.9</v>
      </c>
      <c r="AH40" s="656">
        <v>-852.6</v>
      </c>
      <c r="AI40" s="68">
        <v>-251.4</v>
      </c>
      <c r="AJ40" s="68">
        <v>-433.6</v>
      </c>
      <c r="AK40" s="68">
        <v>-651.9</v>
      </c>
      <c r="AL40" s="68">
        <v>-852.6</v>
      </c>
      <c r="AM40" s="655">
        <v>-255.9</v>
      </c>
      <c r="AN40" s="68">
        <v>-441.3</v>
      </c>
      <c r="AO40" s="68">
        <v>-648.29999999999995</v>
      </c>
      <c r="AP40" s="656">
        <v>-1006.4</v>
      </c>
      <c r="AQ40" s="68">
        <v>-270.10000000000002</v>
      </c>
      <c r="AR40" s="68">
        <v>-567.4</v>
      </c>
      <c r="AS40" s="68">
        <v>-728.5</v>
      </c>
      <c r="AT40" s="656">
        <v>-924.1</v>
      </c>
      <c r="AU40" s="68">
        <v>-222.5</v>
      </c>
      <c r="AV40" s="68">
        <v>-422.7</v>
      </c>
      <c r="AW40" s="68">
        <v>-567.9</v>
      </c>
      <c r="AX40" s="663">
        <v>-776.9</v>
      </c>
      <c r="AY40" s="68">
        <v>-215.4</v>
      </c>
      <c r="AZ40" s="68">
        <v>-344.2</v>
      </c>
      <c r="BA40" s="68">
        <v>-765</v>
      </c>
      <c r="BB40" s="663">
        <v>-1289.4000000000001</v>
      </c>
      <c r="BC40" s="68">
        <v>-233.7</v>
      </c>
      <c r="BD40" s="68">
        <v>-520.5</v>
      </c>
      <c r="BE40" s="68"/>
      <c r="BF40" s="663"/>
      <c r="BG40" s="934"/>
      <c r="BH40" s="941"/>
      <c r="BI40" s="935"/>
    </row>
    <row r="41" spans="1:61" ht="20.149999999999999" customHeight="1">
      <c r="A41" s="70" t="s">
        <v>355</v>
      </c>
      <c r="B41" s="672" t="s">
        <v>356</v>
      </c>
      <c r="C41" s="68">
        <v>-7.0449999999999999</v>
      </c>
      <c r="D41" s="68">
        <v>-11.33</v>
      </c>
      <c r="E41" s="68">
        <v>-23.225000000000001</v>
      </c>
      <c r="F41" s="68">
        <v>-36.24</v>
      </c>
      <c r="G41" s="655">
        <v>-13.377000000000001</v>
      </c>
      <c r="H41" s="68">
        <v>-20.378</v>
      </c>
      <c r="I41" s="68">
        <v>-45.453000000000003</v>
      </c>
      <c r="J41" s="656">
        <v>-62.041000000000004</v>
      </c>
      <c r="K41" s="68">
        <v>-19.987000000000002</v>
      </c>
      <c r="L41" s="68">
        <v>-46.6</v>
      </c>
      <c r="M41" s="68">
        <v>-57.4</v>
      </c>
      <c r="N41" s="68">
        <v>-71.8</v>
      </c>
      <c r="O41" s="655">
        <v>-19.100000000000001</v>
      </c>
      <c r="P41" s="68">
        <v>-90.7</v>
      </c>
      <c r="Q41" s="68">
        <v>-111.1</v>
      </c>
      <c r="R41" s="656">
        <v>-165.3</v>
      </c>
      <c r="S41" s="68">
        <v>-20.3</v>
      </c>
      <c r="T41" s="68">
        <v>-61.3</v>
      </c>
      <c r="U41" s="68">
        <v>-94.6</v>
      </c>
      <c r="V41" s="68">
        <v>-154.19999999999999</v>
      </c>
      <c r="W41" s="655">
        <v>-33.200000000000003</v>
      </c>
      <c r="X41" s="68">
        <v>-114.2</v>
      </c>
      <c r="Y41" s="68">
        <v>-137.30000000000001</v>
      </c>
      <c r="Z41" s="656">
        <v>-214.3</v>
      </c>
      <c r="AA41" s="68">
        <v>-42.8</v>
      </c>
      <c r="AB41" s="68">
        <v>-83.9</v>
      </c>
      <c r="AC41" s="68">
        <v>-168.4</v>
      </c>
      <c r="AD41" s="68">
        <v>-304.10000000000002</v>
      </c>
      <c r="AE41" s="655">
        <v>-108.5</v>
      </c>
      <c r="AF41" s="68">
        <v>-202.7</v>
      </c>
      <c r="AG41" s="68">
        <v>-302.7</v>
      </c>
      <c r="AH41" s="656">
        <v>-379</v>
      </c>
      <c r="AI41" s="68">
        <v>-108.5</v>
      </c>
      <c r="AJ41" s="68">
        <v>-202.7</v>
      </c>
      <c r="AK41" s="68">
        <v>-302.7</v>
      </c>
      <c r="AL41" s="68">
        <v>-379</v>
      </c>
      <c r="AM41" s="655">
        <v>-51.5</v>
      </c>
      <c r="AN41" s="68">
        <v>-90.2</v>
      </c>
      <c r="AO41" s="68">
        <v>-139.4</v>
      </c>
      <c r="AP41" s="656">
        <v>-211.5</v>
      </c>
      <c r="AQ41" s="68">
        <v>-65.400000000000006</v>
      </c>
      <c r="AR41" s="68">
        <v>-102.6</v>
      </c>
      <c r="AS41" s="68">
        <v>-173.3</v>
      </c>
      <c r="AT41" s="656">
        <v>-234.7</v>
      </c>
      <c r="AU41" s="68">
        <v>-102.4</v>
      </c>
      <c r="AV41" s="68">
        <v>-164.2</v>
      </c>
      <c r="AW41" s="68">
        <v>-244.3</v>
      </c>
      <c r="AX41" s="656">
        <v>-337.5</v>
      </c>
      <c r="AY41" s="68">
        <v>-79.8</v>
      </c>
      <c r="AZ41" s="68">
        <v>-166.8</v>
      </c>
      <c r="BA41" s="68">
        <v>-239.5</v>
      </c>
      <c r="BB41" s="663">
        <v>-312.5</v>
      </c>
      <c r="BC41" s="68">
        <v>-101.9</v>
      </c>
      <c r="BD41" s="68">
        <v>-173.2</v>
      </c>
      <c r="BE41" s="68"/>
      <c r="BF41" s="663"/>
      <c r="BG41" s="934"/>
      <c r="BH41" s="540"/>
    </row>
    <row r="42" spans="1:61" ht="20.149999999999999" customHeight="1">
      <c r="A42" s="70" t="s">
        <v>357</v>
      </c>
      <c r="B42" s="672" t="s">
        <v>358</v>
      </c>
      <c r="C42" s="68"/>
      <c r="D42" s="68"/>
      <c r="E42" s="68"/>
      <c r="F42" s="68"/>
      <c r="G42" s="655"/>
      <c r="H42" s="68"/>
      <c r="I42" s="68"/>
      <c r="J42" s="656"/>
      <c r="K42" s="68"/>
      <c r="L42" s="68"/>
      <c r="M42" s="68"/>
      <c r="N42" s="68"/>
      <c r="O42" s="655"/>
      <c r="P42" s="68"/>
      <c r="Q42" s="68"/>
      <c r="R42" s="656"/>
      <c r="S42" s="68"/>
      <c r="T42" s="68"/>
      <c r="U42" s="68"/>
      <c r="V42" s="68">
        <v>0</v>
      </c>
      <c r="W42" s="655"/>
      <c r="X42" s="68"/>
      <c r="Y42" s="68"/>
      <c r="Z42" s="656">
        <v>-9.3000000000000007</v>
      </c>
      <c r="AA42" s="68">
        <v>0</v>
      </c>
      <c r="AB42" s="68">
        <v>0</v>
      </c>
      <c r="AC42" s="68">
        <v>0</v>
      </c>
      <c r="AD42" s="68">
        <v>-9.1999999999999993</v>
      </c>
      <c r="AE42" s="655">
        <v>0</v>
      </c>
      <c r="AF42" s="68"/>
      <c r="AG42" s="68">
        <v>0</v>
      </c>
      <c r="AH42" s="656">
        <v>0</v>
      </c>
      <c r="AI42" s="68">
        <v>0</v>
      </c>
      <c r="AJ42" s="68">
        <v>0</v>
      </c>
      <c r="AK42" s="68">
        <v>0</v>
      </c>
      <c r="AL42" s="68">
        <v>0</v>
      </c>
      <c r="AM42" s="655">
        <v>0</v>
      </c>
      <c r="AN42" s="68">
        <v>-8.3000000000000007</v>
      </c>
      <c r="AO42" s="68">
        <v>-8.3000000000000007</v>
      </c>
      <c r="AP42" s="656">
        <v>-8.3000000000000007</v>
      </c>
      <c r="AQ42" s="68">
        <v>-27.8</v>
      </c>
      <c r="AR42" s="68">
        <v>-27.8</v>
      </c>
      <c r="AS42" s="68">
        <v>-27.8</v>
      </c>
      <c r="AT42" s="656">
        <v>-27.8</v>
      </c>
      <c r="AU42" s="68">
        <v>0</v>
      </c>
      <c r="AV42" s="68">
        <v>0</v>
      </c>
      <c r="AW42" s="68">
        <v>0</v>
      </c>
      <c r="AX42" s="656"/>
      <c r="AY42" s="68">
        <v>0</v>
      </c>
      <c r="AZ42" s="68">
        <v>-20</v>
      </c>
      <c r="BA42" s="68">
        <v>-20</v>
      </c>
      <c r="BB42" s="663">
        <v>-20</v>
      </c>
      <c r="BC42" s="68">
        <v>0</v>
      </c>
      <c r="BD42" s="68">
        <v>0</v>
      </c>
      <c r="BE42" s="68"/>
      <c r="BF42" s="663"/>
      <c r="BG42" s="934"/>
      <c r="BH42" s="540"/>
    </row>
    <row r="43" spans="1:61" ht="20.149999999999999" customHeight="1">
      <c r="A43" s="70" t="s">
        <v>359</v>
      </c>
      <c r="B43" s="672" t="s">
        <v>360</v>
      </c>
      <c r="C43" s="69">
        <v>0</v>
      </c>
      <c r="D43" s="69">
        <v>0</v>
      </c>
      <c r="E43" s="69">
        <v>0</v>
      </c>
      <c r="F43" s="69">
        <v>0</v>
      </c>
      <c r="G43" s="676">
        <v>0</v>
      </c>
      <c r="H43" s="69">
        <v>0</v>
      </c>
      <c r="I43" s="69">
        <v>0</v>
      </c>
      <c r="J43" s="677">
        <v>0</v>
      </c>
      <c r="K43" s="69">
        <v>0</v>
      </c>
      <c r="L43" s="68">
        <v>0</v>
      </c>
      <c r="M43" s="68">
        <v>-482.3</v>
      </c>
      <c r="N43" s="68">
        <v>-482.3</v>
      </c>
      <c r="O43" s="655">
        <v>0</v>
      </c>
      <c r="P43" s="68">
        <v>0</v>
      </c>
      <c r="Q43" s="68">
        <v>-118.7</v>
      </c>
      <c r="R43" s="656">
        <v>-118.7</v>
      </c>
      <c r="S43" s="68">
        <v>-147.69999999999999</v>
      </c>
      <c r="T43" s="68">
        <v>-147.69999999999999</v>
      </c>
      <c r="U43" s="68">
        <v>-268.5</v>
      </c>
      <c r="V43" s="68">
        <v>-268.5</v>
      </c>
      <c r="W43" s="655">
        <v>0</v>
      </c>
      <c r="X43" s="68">
        <v>0</v>
      </c>
      <c r="Y43" s="68">
        <v>-120.7</v>
      </c>
      <c r="Z43" s="656">
        <v>-120.7</v>
      </c>
      <c r="AA43" s="68">
        <v>0</v>
      </c>
      <c r="AB43" s="68">
        <v>0</v>
      </c>
      <c r="AC43" s="68">
        <v>-119.6</v>
      </c>
      <c r="AD43" s="68">
        <v>-119.6</v>
      </c>
      <c r="AE43" s="655">
        <v>0</v>
      </c>
      <c r="AF43" s="68"/>
      <c r="AG43" s="68">
        <v>-122.4</v>
      </c>
      <c r="AH43" s="656">
        <v>-122.4</v>
      </c>
      <c r="AI43" s="68">
        <v>0</v>
      </c>
      <c r="AJ43" s="68">
        <v>0</v>
      </c>
      <c r="AK43" s="68">
        <v>-122.4</v>
      </c>
      <c r="AL43" s="68">
        <v>-122.4</v>
      </c>
      <c r="AM43" s="655">
        <v>0</v>
      </c>
      <c r="AN43" s="68">
        <v>-4.2</v>
      </c>
      <c r="AO43" s="68">
        <v>-126.8</v>
      </c>
      <c r="AP43" s="656">
        <v>-126.8</v>
      </c>
      <c r="AQ43" s="68">
        <v>-21.6</v>
      </c>
      <c r="AR43" s="68">
        <v>-28.3</v>
      </c>
      <c r="AS43" s="68">
        <v>-159.4</v>
      </c>
      <c r="AT43" s="656">
        <v>-159.4</v>
      </c>
      <c r="AU43" s="68">
        <v>-6.4</v>
      </c>
      <c r="AV43" s="68">
        <v>-8.1</v>
      </c>
      <c r="AW43" s="68">
        <v>-162.6</v>
      </c>
      <c r="AX43" s="656">
        <v>-514</v>
      </c>
      <c r="AY43" s="68">
        <v>-852.2</v>
      </c>
      <c r="AZ43" s="68">
        <v>-853.8</v>
      </c>
      <c r="BA43" s="68">
        <v>-1159.4000000000001</v>
      </c>
      <c r="BB43" s="663">
        <v>-1345.9</v>
      </c>
      <c r="BC43" s="68">
        <v>-271.89999999999998</v>
      </c>
      <c r="BD43" s="68">
        <v>-273.5</v>
      </c>
      <c r="BE43" s="68"/>
      <c r="BF43" s="663"/>
      <c r="BG43" s="934"/>
      <c r="BH43" s="233"/>
      <c r="BI43" s="935"/>
    </row>
    <row r="44" spans="1:61" ht="20.149999999999999" customHeight="1">
      <c r="A44" s="70" t="s">
        <v>361</v>
      </c>
      <c r="B44" s="672" t="s">
        <v>362</v>
      </c>
      <c r="C44" s="69"/>
      <c r="D44" s="69"/>
      <c r="E44" s="69"/>
      <c r="F44" s="69"/>
      <c r="G44" s="676"/>
      <c r="H44" s="69"/>
      <c r="I44" s="69"/>
      <c r="J44" s="677"/>
      <c r="K44" s="69"/>
      <c r="L44" s="69"/>
      <c r="M44" s="69"/>
      <c r="N44" s="68"/>
      <c r="O44" s="655"/>
      <c r="P44" s="69"/>
      <c r="Q44" s="69"/>
      <c r="R44" s="656"/>
      <c r="S44" s="69">
        <v>0</v>
      </c>
      <c r="T44" s="69">
        <v>0</v>
      </c>
      <c r="U44" s="69">
        <v>0</v>
      </c>
      <c r="V44" s="68">
        <v>0</v>
      </c>
      <c r="W44" s="655">
        <v>0</v>
      </c>
      <c r="X44" s="68">
        <v>0</v>
      </c>
      <c r="Y44" s="68">
        <v>0</v>
      </c>
      <c r="Z44" s="656">
        <v>-662.5</v>
      </c>
      <c r="AA44" s="68">
        <v>-11.3</v>
      </c>
      <c r="AB44" s="68">
        <v>-15.7</v>
      </c>
      <c r="AC44" s="68">
        <v>-15.7</v>
      </c>
      <c r="AD44" s="68">
        <v>-16.100000000000001</v>
      </c>
      <c r="AE44" s="655">
        <v>0</v>
      </c>
      <c r="AF44" s="68">
        <v>-14.7</v>
      </c>
      <c r="AG44" s="68">
        <v>-14.7</v>
      </c>
      <c r="AH44" s="656">
        <v>-1232.5</v>
      </c>
      <c r="AI44" s="68">
        <v>0</v>
      </c>
      <c r="AJ44" s="68">
        <v>-14.7</v>
      </c>
      <c r="AK44" s="68">
        <v>-14.7</v>
      </c>
      <c r="AL44" s="68">
        <v>-1232.5</v>
      </c>
      <c r="AM44" s="655">
        <v>-7.4</v>
      </c>
      <c r="AN44" s="68">
        <v>-7.4</v>
      </c>
      <c r="AO44" s="68">
        <v>-18.8</v>
      </c>
      <c r="AP44" s="656">
        <v>-11.4</v>
      </c>
      <c r="AQ44" s="68">
        <v>0</v>
      </c>
      <c r="AR44" s="68">
        <v>-500</v>
      </c>
      <c r="AS44" s="68">
        <v>-500</v>
      </c>
      <c r="AT44" s="656">
        <v>-500</v>
      </c>
      <c r="AU44" s="68">
        <v>0</v>
      </c>
      <c r="AV44" s="68">
        <v>-4.9000000000000004</v>
      </c>
      <c r="AW44" s="68">
        <v>-4.9000000000000004</v>
      </c>
      <c r="AX44" s="656">
        <v>-4.9000000000000004</v>
      </c>
      <c r="AY44" s="68">
        <v>0</v>
      </c>
      <c r="AZ44" s="68">
        <v>0</v>
      </c>
      <c r="BA44" s="68">
        <v>0</v>
      </c>
      <c r="BB44" s="656">
        <v>0</v>
      </c>
      <c r="BC44" s="68">
        <v>0</v>
      </c>
      <c r="BD44" s="68">
        <v>0</v>
      </c>
      <c r="BE44" s="68"/>
      <c r="BF44" s="656"/>
      <c r="BG44" s="934"/>
      <c r="BH44" s="540"/>
    </row>
    <row r="45" spans="1:61" ht="26">
      <c r="A45" s="70" t="s">
        <v>363</v>
      </c>
      <c r="B45" s="672" t="s">
        <v>364</v>
      </c>
      <c r="C45" s="68">
        <v>-2.3290000000000002</v>
      </c>
      <c r="D45" s="68">
        <v>-45.099000000000004</v>
      </c>
      <c r="E45" s="68">
        <v>-45.329000000000001</v>
      </c>
      <c r="F45" s="68">
        <v>-45.710999999999999</v>
      </c>
      <c r="G45" s="655">
        <v>-0.153</v>
      </c>
      <c r="H45" s="68">
        <v>-0.26800000000000002</v>
      </c>
      <c r="I45" s="68">
        <v>-64.186999999999998</v>
      </c>
      <c r="J45" s="656">
        <v>-64.266000000000005</v>
      </c>
      <c r="K45" s="69">
        <v>0</v>
      </c>
      <c r="L45" s="68">
        <v>1800.4</v>
      </c>
      <c r="M45" s="68">
        <v>1800.4</v>
      </c>
      <c r="N45" s="68">
        <v>1800.4</v>
      </c>
      <c r="O45" s="655">
        <v>-4.2</v>
      </c>
      <c r="P45" s="68">
        <v>-29.5</v>
      </c>
      <c r="Q45" s="68">
        <v>-29.5</v>
      </c>
      <c r="R45" s="656">
        <v>-29.5</v>
      </c>
      <c r="S45" s="68">
        <v>262.2</v>
      </c>
      <c r="T45" s="68">
        <v>-145.30000000000001</v>
      </c>
      <c r="U45" s="68">
        <v>-144.4</v>
      </c>
      <c r="V45" s="68">
        <v>-144.4</v>
      </c>
      <c r="W45" s="655">
        <v>0</v>
      </c>
      <c r="X45" s="68">
        <v>0</v>
      </c>
      <c r="Y45" s="68">
        <v>1.6</v>
      </c>
      <c r="Z45" s="656">
        <v>-66.8</v>
      </c>
      <c r="AA45" s="68">
        <v>-16.7</v>
      </c>
      <c r="AB45" s="68">
        <v>-276.8</v>
      </c>
      <c r="AC45" s="68">
        <v>-453.7</v>
      </c>
      <c r="AD45" s="68">
        <v>-792.4</v>
      </c>
      <c r="AE45" s="655">
        <v>0</v>
      </c>
      <c r="AF45" s="68">
        <v>-63.8</v>
      </c>
      <c r="AG45" s="68">
        <v>-74.599999999999994</v>
      </c>
      <c r="AH45" s="656">
        <v>-108.5</v>
      </c>
      <c r="AI45" s="68">
        <v>0</v>
      </c>
      <c r="AJ45" s="68">
        <v>-63.8</v>
      </c>
      <c r="AK45" s="68">
        <v>-74.599999999999994</v>
      </c>
      <c r="AL45" s="68">
        <v>-108.5</v>
      </c>
      <c r="AM45" s="655">
        <v>-48.8</v>
      </c>
      <c r="AN45" s="68">
        <v>-48.8</v>
      </c>
      <c r="AO45" s="68">
        <v>-474.6</v>
      </c>
      <c r="AP45" s="656">
        <v>-479.2</v>
      </c>
      <c r="AQ45" s="68">
        <v>-0.7</v>
      </c>
      <c r="AR45" s="68">
        <v>-181.2</v>
      </c>
      <c r="AS45" s="68">
        <v>-938.2</v>
      </c>
      <c r="AT45" s="656">
        <v>-946.4</v>
      </c>
      <c r="AU45" s="68">
        <v>-13</v>
      </c>
      <c r="AV45" s="68">
        <v>-251.1</v>
      </c>
      <c r="AW45" s="68">
        <v>-260.3</v>
      </c>
      <c r="AX45" s="656">
        <v>-266.5</v>
      </c>
      <c r="AY45" s="68">
        <v>-0.1</v>
      </c>
      <c r="AZ45" s="68">
        <v>-0.1</v>
      </c>
      <c r="BA45" s="68">
        <v>126.9</v>
      </c>
      <c r="BB45" s="663">
        <v>-84.9</v>
      </c>
      <c r="BC45" s="68">
        <v>-6.2</v>
      </c>
      <c r="BD45" s="68">
        <v>-108.4</v>
      </c>
      <c r="BE45" s="68"/>
      <c r="BF45" s="663"/>
      <c r="BG45" s="934"/>
      <c r="BH45" s="540"/>
    </row>
    <row r="46" spans="1:61" s="100" customFormat="1">
      <c r="A46" s="194" t="s">
        <v>365</v>
      </c>
      <c r="B46" s="673" t="s">
        <v>366</v>
      </c>
      <c r="C46" s="259"/>
      <c r="D46" s="259"/>
      <c r="E46" s="259"/>
      <c r="F46" s="259"/>
      <c r="G46" s="662"/>
      <c r="H46" s="259"/>
      <c r="I46" s="259"/>
      <c r="J46" s="663"/>
      <c r="K46" s="260"/>
      <c r="L46" s="259"/>
      <c r="M46" s="259"/>
      <c r="N46" s="259"/>
      <c r="O46" s="662"/>
      <c r="P46" s="259"/>
      <c r="Q46" s="259"/>
      <c r="R46" s="663"/>
      <c r="S46" s="259"/>
      <c r="T46" s="259"/>
      <c r="U46" s="259"/>
      <c r="V46" s="259"/>
      <c r="W46" s="662"/>
      <c r="X46" s="259"/>
      <c r="Y46" s="259"/>
      <c r="Z46" s="663"/>
      <c r="AA46" s="259"/>
      <c r="AB46" s="259"/>
      <c r="AC46" s="259"/>
      <c r="AD46" s="259"/>
      <c r="AE46" s="662"/>
      <c r="AF46" s="259">
        <v>-16.3</v>
      </c>
      <c r="AG46" s="259">
        <v>-16.3</v>
      </c>
      <c r="AH46" s="663">
        <v>-16.3</v>
      </c>
      <c r="AI46" s="259"/>
      <c r="AJ46" s="259">
        <v>-16.3</v>
      </c>
      <c r="AK46" s="259">
        <v>-16.3</v>
      </c>
      <c r="AL46" s="259">
        <v>-16.3</v>
      </c>
      <c r="AM46" s="662">
        <v>0</v>
      </c>
      <c r="AN46" s="259">
        <v>0</v>
      </c>
      <c r="AO46" s="259">
        <v>0</v>
      </c>
      <c r="AP46" s="663">
        <v>0</v>
      </c>
      <c r="AQ46" s="259">
        <v>0</v>
      </c>
      <c r="AR46" s="259">
        <v>0</v>
      </c>
      <c r="AS46" s="259">
        <v>0</v>
      </c>
      <c r="AT46" s="663">
        <v>0</v>
      </c>
      <c r="AU46" s="259">
        <v>0</v>
      </c>
      <c r="AV46" s="259">
        <v>-473.8</v>
      </c>
      <c r="AW46" s="259">
        <v>-473.8</v>
      </c>
      <c r="AX46" s="663">
        <v>-473.8</v>
      </c>
      <c r="AY46" s="259">
        <v>0</v>
      </c>
      <c r="AZ46" s="259">
        <v>0</v>
      </c>
      <c r="BA46" s="68">
        <v>0</v>
      </c>
      <c r="BB46" s="663">
        <v>0</v>
      </c>
      <c r="BC46" s="68">
        <v>0</v>
      </c>
      <c r="BD46" s="68">
        <v>0</v>
      </c>
      <c r="BE46" s="68"/>
      <c r="BF46" s="663"/>
      <c r="BG46" s="934"/>
      <c r="BH46" s="540"/>
    </row>
    <row r="47" spans="1:61" ht="26">
      <c r="A47" s="70" t="s">
        <v>367</v>
      </c>
      <c r="B47" s="672" t="s">
        <v>368</v>
      </c>
      <c r="C47" s="69">
        <v>0</v>
      </c>
      <c r="D47" s="69">
        <v>0</v>
      </c>
      <c r="E47" s="69">
        <v>0</v>
      </c>
      <c r="F47" s="69">
        <v>0</v>
      </c>
      <c r="G47" s="676">
        <v>0</v>
      </c>
      <c r="H47" s="69">
        <v>0</v>
      </c>
      <c r="I47" s="68">
        <v>48.219000000000001</v>
      </c>
      <c r="J47" s="656">
        <v>48.736000000000004</v>
      </c>
      <c r="K47" s="69">
        <v>0</v>
      </c>
      <c r="L47" s="68">
        <v>0</v>
      </c>
      <c r="M47" s="68">
        <v>0</v>
      </c>
      <c r="N47" s="68">
        <v>0</v>
      </c>
      <c r="O47" s="655">
        <v>0</v>
      </c>
      <c r="P47" s="68">
        <v>0</v>
      </c>
      <c r="Q47" s="68">
        <v>0</v>
      </c>
      <c r="R47" s="656">
        <v>0</v>
      </c>
      <c r="S47" s="68">
        <v>0</v>
      </c>
      <c r="T47" s="68">
        <v>0.2</v>
      </c>
      <c r="U47" s="68">
        <v>0.2</v>
      </c>
      <c r="V47" s="68">
        <v>0</v>
      </c>
      <c r="W47" s="655">
        <v>0</v>
      </c>
      <c r="X47" s="68">
        <v>0</v>
      </c>
      <c r="Y47" s="68">
        <v>0</v>
      </c>
      <c r="Z47" s="656">
        <v>0</v>
      </c>
      <c r="AA47" s="68">
        <v>0</v>
      </c>
      <c r="AB47" s="68">
        <v>0</v>
      </c>
      <c r="AC47" s="68">
        <v>0</v>
      </c>
      <c r="AD47" s="68">
        <v>0</v>
      </c>
      <c r="AE47" s="655">
        <v>0</v>
      </c>
      <c r="AF47" s="68">
        <v>0</v>
      </c>
      <c r="AG47" s="68"/>
      <c r="AH47" s="656">
        <v>0</v>
      </c>
      <c r="AI47" s="68">
        <v>0</v>
      </c>
      <c r="AJ47" s="68">
        <v>0</v>
      </c>
      <c r="AK47" s="68">
        <v>0</v>
      </c>
      <c r="AL47" s="68">
        <v>0</v>
      </c>
      <c r="AM47" s="655">
        <v>0</v>
      </c>
      <c r="AN47" s="68">
        <v>0</v>
      </c>
      <c r="AO47" s="68">
        <v>0</v>
      </c>
      <c r="AP47" s="656">
        <v>0</v>
      </c>
      <c r="AQ47" s="68">
        <v>0</v>
      </c>
      <c r="AR47" s="68">
        <v>0</v>
      </c>
      <c r="AS47" s="68">
        <v>7111.9</v>
      </c>
      <c r="AT47" s="656">
        <v>7111.9</v>
      </c>
      <c r="AU47" s="68">
        <v>0</v>
      </c>
      <c r="AV47" s="68">
        <v>0</v>
      </c>
      <c r="AW47" s="68">
        <v>643.29999999999995</v>
      </c>
      <c r="AX47" s="656">
        <v>757.4</v>
      </c>
      <c r="AY47" s="68">
        <v>0</v>
      </c>
      <c r="AZ47" s="68"/>
      <c r="BA47" s="68">
        <v>913.8</v>
      </c>
      <c r="BB47" s="663">
        <v>913.8</v>
      </c>
      <c r="BC47" s="68">
        <v>12</v>
      </c>
      <c r="BD47" s="68">
        <v>12</v>
      </c>
      <c r="BE47" s="68"/>
      <c r="BF47" s="663"/>
      <c r="BG47" s="934"/>
      <c r="BH47" s="540"/>
    </row>
    <row r="48" spans="1:61" ht="20.149999999999999" customHeight="1">
      <c r="A48" s="70" t="s">
        <v>369</v>
      </c>
      <c r="B48" s="672" t="s">
        <v>370</v>
      </c>
      <c r="C48" s="68">
        <v>0.09</v>
      </c>
      <c r="D48" s="68">
        <v>0.121</v>
      </c>
      <c r="E48" s="68">
        <v>0.69000000000000006</v>
      </c>
      <c r="F48" s="68">
        <v>0.751</v>
      </c>
      <c r="G48" s="655">
        <v>0.35000000000000003</v>
      </c>
      <c r="H48" s="68">
        <v>0.41000000000000003</v>
      </c>
      <c r="I48" s="68">
        <v>1.756</v>
      </c>
      <c r="J48" s="656">
        <v>2.0640000000000001</v>
      </c>
      <c r="K48" s="69">
        <v>0.33700000000000002</v>
      </c>
      <c r="L48" s="68">
        <v>1.6</v>
      </c>
      <c r="M48" s="68">
        <v>4</v>
      </c>
      <c r="N48" s="68">
        <v>4.0999999999999996</v>
      </c>
      <c r="O48" s="655">
        <v>0.2</v>
      </c>
      <c r="P48" s="68">
        <v>13.3</v>
      </c>
      <c r="Q48" s="68">
        <v>15.1</v>
      </c>
      <c r="R48" s="656">
        <v>16.899999999999999</v>
      </c>
      <c r="S48" s="68">
        <v>3.5</v>
      </c>
      <c r="T48" s="68">
        <v>5</v>
      </c>
      <c r="U48" s="68">
        <v>6.3</v>
      </c>
      <c r="V48" s="68">
        <v>9.5</v>
      </c>
      <c r="W48" s="655">
        <v>12.8</v>
      </c>
      <c r="X48" s="68">
        <v>16</v>
      </c>
      <c r="Y48" s="68">
        <v>15.8</v>
      </c>
      <c r="Z48" s="656">
        <v>19.3</v>
      </c>
      <c r="AA48" s="68">
        <v>3.4</v>
      </c>
      <c r="AB48" s="68">
        <v>10.6</v>
      </c>
      <c r="AC48" s="68">
        <v>11.6</v>
      </c>
      <c r="AD48" s="68">
        <v>11.6</v>
      </c>
      <c r="AE48" s="655">
        <v>2.5</v>
      </c>
      <c r="AF48" s="68">
        <v>4.2</v>
      </c>
      <c r="AG48" s="68">
        <v>4.8</v>
      </c>
      <c r="AH48" s="656">
        <v>6.8</v>
      </c>
      <c r="AI48" s="68">
        <v>2.5</v>
      </c>
      <c r="AJ48" s="68">
        <v>4.2</v>
      </c>
      <c r="AK48" s="68">
        <v>4.8</v>
      </c>
      <c r="AL48" s="68">
        <v>6.8</v>
      </c>
      <c r="AM48" s="655">
        <v>1.7</v>
      </c>
      <c r="AN48" s="68">
        <v>4.4000000000000004</v>
      </c>
      <c r="AO48" s="68">
        <v>5.5</v>
      </c>
      <c r="AP48" s="656">
        <v>8.4</v>
      </c>
      <c r="AQ48" s="68">
        <v>3.4</v>
      </c>
      <c r="AR48" s="68">
        <v>4</v>
      </c>
      <c r="AS48" s="68">
        <v>4.8</v>
      </c>
      <c r="AT48" s="656">
        <v>5.7</v>
      </c>
      <c r="AU48" s="68">
        <v>0.6</v>
      </c>
      <c r="AV48" s="68">
        <v>2.2999999999999998</v>
      </c>
      <c r="AW48" s="68">
        <v>2.5</v>
      </c>
      <c r="AX48" s="663">
        <v>78.2</v>
      </c>
      <c r="AY48" s="68">
        <v>6.4</v>
      </c>
      <c r="AZ48" s="68">
        <v>8.6</v>
      </c>
      <c r="BA48" s="68">
        <v>12.9</v>
      </c>
      <c r="BB48" s="663">
        <v>26.2</v>
      </c>
      <c r="BC48" s="68">
        <v>6.5</v>
      </c>
      <c r="BD48" s="68">
        <v>214.1</v>
      </c>
      <c r="BE48" s="68"/>
      <c r="BF48" s="663"/>
      <c r="BG48" s="934"/>
      <c r="BH48" s="540"/>
    </row>
    <row r="49" spans="1:62" ht="20.149999999999999" customHeight="1">
      <c r="A49" s="70" t="s">
        <v>371</v>
      </c>
      <c r="B49" s="672" t="s">
        <v>372</v>
      </c>
      <c r="C49" s="68"/>
      <c r="D49" s="68"/>
      <c r="E49" s="68"/>
      <c r="F49" s="68"/>
      <c r="G49" s="655"/>
      <c r="H49" s="68"/>
      <c r="I49" s="68"/>
      <c r="J49" s="656"/>
      <c r="K49" s="69"/>
      <c r="L49" s="68"/>
      <c r="M49" s="68"/>
      <c r="N49" s="68"/>
      <c r="O49" s="655"/>
      <c r="P49" s="68"/>
      <c r="Q49" s="68"/>
      <c r="R49" s="656"/>
      <c r="S49" s="68"/>
      <c r="T49" s="68"/>
      <c r="U49" s="68"/>
      <c r="V49" s="68"/>
      <c r="W49" s="655"/>
      <c r="X49" s="68"/>
      <c r="Y49" s="68"/>
      <c r="Z49" s="656"/>
      <c r="AA49" s="68">
        <v>-45</v>
      </c>
      <c r="AB49" s="68">
        <f>-50+50.3</f>
        <v>0.29999999999999716</v>
      </c>
      <c r="AC49" s="68">
        <f>-95+95.4</f>
        <v>0.40000000000000568</v>
      </c>
      <c r="AD49" s="68">
        <f>-130+130.5</f>
        <v>0.5</v>
      </c>
      <c r="AE49" s="655">
        <v>0.1</v>
      </c>
      <c r="AF49" s="68">
        <v>0.3</v>
      </c>
      <c r="AG49" s="68">
        <f>100.5-100</f>
        <v>0.5</v>
      </c>
      <c r="AH49" s="656">
        <v>0.69999999999998863</v>
      </c>
      <c r="AI49" s="68">
        <v>0.1</v>
      </c>
      <c r="AJ49" s="68">
        <v>0.3</v>
      </c>
      <c r="AK49" s="68">
        <v>0.5</v>
      </c>
      <c r="AL49" s="68">
        <v>0.69999999999998863</v>
      </c>
      <c r="AM49" s="655">
        <v>0</v>
      </c>
      <c r="AN49" s="68">
        <v>0</v>
      </c>
      <c r="AO49" s="68">
        <v>0</v>
      </c>
      <c r="AP49" s="656">
        <v>0</v>
      </c>
      <c r="AQ49" s="68">
        <v>0</v>
      </c>
      <c r="AR49" s="68">
        <v>0</v>
      </c>
      <c r="AS49" s="68">
        <v>0</v>
      </c>
      <c r="AT49" s="656">
        <v>0</v>
      </c>
      <c r="AU49" s="68">
        <v>0</v>
      </c>
      <c r="AV49" s="68">
        <v>0</v>
      </c>
      <c r="AW49" s="68">
        <v>0</v>
      </c>
      <c r="AX49" s="656">
        <v>0</v>
      </c>
      <c r="AY49" s="68">
        <v>0</v>
      </c>
      <c r="AZ49" s="68">
        <v>0</v>
      </c>
      <c r="BA49" s="68">
        <v>0</v>
      </c>
      <c r="BB49" s="656">
        <v>0</v>
      </c>
      <c r="BC49" s="68">
        <v>0</v>
      </c>
      <c r="BD49" s="68">
        <v>0</v>
      </c>
      <c r="BE49" s="68"/>
      <c r="BF49" s="656"/>
      <c r="BG49" s="934"/>
      <c r="BH49" s="540"/>
    </row>
    <row r="50" spans="1:62" ht="20.149999999999999" customHeight="1">
      <c r="A50" s="70" t="s">
        <v>373</v>
      </c>
      <c r="B50" s="672" t="s">
        <v>185</v>
      </c>
      <c r="C50" s="69">
        <v>0</v>
      </c>
      <c r="D50" s="69">
        <v>0</v>
      </c>
      <c r="E50" s="69">
        <v>0</v>
      </c>
      <c r="F50" s="69">
        <v>0</v>
      </c>
      <c r="G50" s="676">
        <v>0</v>
      </c>
      <c r="H50" s="69">
        <v>0</v>
      </c>
      <c r="I50" s="69">
        <v>0</v>
      </c>
      <c r="J50" s="677">
        <v>0</v>
      </c>
      <c r="K50" s="69">
        <v>0</v>
      </c>
      <c r="L50" s="68">
        <v>-270</v>
      </c>
      <c r="M50" s="68">
        <v>-30</v>
      </c>
      <c r="N50" s="68">
        <v>0</v>
      </c>
      <c r="O50" s="655">
        <v>-42.7</v>
      </c>
      <c r="P50" s="68">
        <v>-42.7</v>
      </c>
      <c r="Q50" s="68">
        <v>0</v>
      </c>
      <c r="R50" s="656">
        <v>0</v>
      </c>
      <c r="S50" s="68">
        <v>-12.4</v>
      </c>
      <c r="T50" s="68">
        <v>0</v>
      </c>
      <c r="U50" s="68">
        <v>0</v>
      </c>
      <c r="V50" s="68">
        <v>0</v>
      </c>
      <c r="W50" s="655">
        <v>0</v>
      </c>
      <c r="X50" s="68">
        <v>0</v>
      </c>
      <c r="Y50" s="68">
        <v>0</v>
      </c>
      <c r="Z50" s="656">
        <v>0</v>
      </c>
      <c r="AA50" s="68">
        <v>0</v>
      </c>
      <c r="AB50" s="68">
        <v>0</v>
      </c>
      <c r="AC50" s="68">
        <v>0</v>
      </c>
      <c r="AD50" s="68">
        <v>0</v>
      </c>
      <c r="AE50" s="655">
        <v>0</v>
      </c>
      <c r="AF50" s="68">
        <v>0</v>
      </c>
      <c r="AG50" s="68">
        <v>0</v>
      </c>
      <c r="AH50" s="656">
        <v>0</v>
      </c>
      <c r="AI50" s="68">
        <v>0</v>
      </c>
      <c r="AJ50" s="68">
        <v>0</v>
      </c>
      <c r="AK50" s="68">
        <v>0</v>
      </c>
      <c r="AL50" s="68">
        <v>0</v>
      </c>
      <c r="AM50" s="655">
        <v>0</v>
      </c>
      <c r="AN50" s="68">
        <v>0</v>
      </c>
      <c r="AO50" s="68">
        <v>0</v>
      </c>
      <c r="AP50" s="656">
        <v>0</v>
      </c>
      <c r="AQ50" s="68">
        <v>0</v>
      </c>
      <c r="AR50" s="68">
        <v>0</v>
      </c>
      <c r="AS50" s="68">
        <v>0</v>
      </c>
      <c r="AT50" s="656">
        <v>0</v>
      </c>
      <c r="AU50" s="68">
        <v>0</v>
      </c>
      <c r="AV50" s="68">
        <v>0</v>
      </c>
      <c r="AW50" s="68">
        <v>0</v>
      </c>
      <c r="AX50" s="656">
        <v>0</v>
      </c>
      <c r="AY50" s="68">
        <v>0</v>
      </c>
      <c r="AZ50" s="68">
        <v>0</v>
      </c>
      <c r="BA50" s="68">
        <v>0</v>
      </c>
      <c r="BB50" s="656">
        <v>0</v>
      </c>
      <c r="BC50" s="68">
        <v>0</v>
      </c>
      <c r="BD50" s="68">
        <v>0</v>
      </c>
      <c r="BE50" s="68"/>
      <c r="BF50" s="656"/>
      <c r="BG50" s="934"/>
      <c r="BH50" s="540"/>
    </row>
    <row r="51" spans="1:62" ht="20.149999999999999" customHeight="1">
      <c r="A51" s="70" t="s">
        <v>374</v>
      </c>
      <c r="B51" s="672" t="s">
        <v>375</v>
      </c>
      <c r="C51" s="68">
        <v>-1.1000000000000001</v>
      </c>
      <c r="D51" s="68">
        <v>-1.1000000000000001</v>
      </c>
      <c r="E51" s="68">
        <v>-1.1000000000000001</v>
      </c>
      <c r="F51" s="68">
        <v>-1.1000000000000001</v>
      </c>
      <c r="G51" s="676">
        <v>0</v>
      </c>
      <c r="H51" s="69">
        <v>0</v>
      </c>
      <c r="I51" s="69">
        <v>0</v>
      </c>
      <c r="J51" s="677">
        <v>0</v>
      </c>
      <c r="K51" s="69">
        <v>0</v>
      </c>
      <c r="L51" s="68">
        <v>-5.8</v>
      </c>
      <c r="M51" s="68">
        <v>-20.399999999999999</v>
      </c>
      <c r="N51" s="68">
        <v>-23.1</v>
      </c>
      <c r="O51" s="655">
        <v>-6</v>
      </c>
      <c r="P51" s="68">
        <v>-8.9</v>
      </c>
      <c r="Q51" s="68">
        <v>-12.1</v>
      </c>
      <c r="R51" s="656">
        <v>-16.100000000000001</v>
      </c>
      <c r="S51" s="68">
        <v>-6.8</v>
      </c>
      <c r="T51" s="68">
        <v>-9.5</v>
      </c>
      <c r="U51" s="68">
        <v>-10.5</v>
      </c>
      <c r="V51" s="68">
        <v>-11.6</v>
      </c>
      <c r="W51" s="655">
        <v>0</v>
      </c>
      <c r="X51" s="68">
        <v>0</v>
      </c>
      <c r="Y51" s="68">
        <v>-28.6</v>
      </c>
      <c r="Z51" s="656">
        <v>-31.1</v>
      </c>
      <c r="AA51" s="68">
        <v>-11</v>
      </c>
      <c r="AB51" s="68">
        <v>-11</v>
      </c>
      <c r="AC51" s="68">
        <v>-11</v>
      </c>
      <c r="AD51" s="68">
        <v>-12.4</v>
      </c>
      <c r="AE51" s="655">
        <v>-12.9</v>
      </c>
      <c r="AF51" s="68">
        <v>-14.6</v>
      </c>
      <c r="AG51" s="68">
        <v>-15.3</v>
      </c>
      <c r="AH51" s="656">
        <v>-21.4</v>
      </c>
      <c r="AI51" s="68">
        <v>-12.9</v>
      </c>
      <c r="AJ51" s="68">
        <v>-14.6</v>
      </c>
      <c r="AK51" s="68">
        <v>-15.3</v>
      </c>
      <c r="AL51" s="68">
        <v>-21.4</v>
      </c>
      <c r="AM51" s="655">
        <v>-5</v>
      </c>
      <c r="AN51" s="68">
        <v>-8.3000000000000007</v>
      </c>
      <c r="AO51" s="68">
        <v>-12.2</v>
      </c>
      <c r="AP51" s="656">
        <v>-13</v>
      </c>
      <c r="AQ51" s="68">
        <v>-2</v>
      </c>
      <c r="AR51" s="68">
        <v>-5.7</v>
      </c>
      <c r="AS51" s="68">
        <v>-13.8</v>
      </c>
      <c r="AT51" s="656">
        <v>-64.900000000000006</v>
      </c>
      <c r="AU51" s="68">
        <v>-192.7</v>
      </c>
      <c r="AV51" s="68">
        <v>-482.2</v>
      </c>
      <c r="AW51" s="68">
        <v>-551.4</v>
      </c>
      <c r="AX51" s="656">
        <v>-686.9</v>
      </c>
      <c r="AY51" s="68">
        <v>-144</v>
      </c>
      <c r="AZ51" s="68">
        <v>-342.5</v>
      </c>
      <c r="BA51" s="68">
        <v>-342.5</v>
      </c>
      <c r="BB51" s="663">
        <v>-343.4</v>
      </c>
      <c r="BC51" s="68">
        <v>-0.5</v>
      </c>
      <c r="BD51" s="68">
        <v>-1</v>
      </c>
      <c r="BE51" s="68"/>
      <c r="BF51" s="663"/>
      <c r="BG51" s="934"/>
      <c r="BH51" s="540"/>
    </row>
    <row r="52" spans="1:62" ht="20.149999999999999" customHeight="1">
      <c r="A52" s="70" t="s">
        <v>376</v>
      </c>
      <c r="B52" s="672" t="s">
        <v>377</v>
      </c>
      <c r="C52" s="68">
        <v>0</v>
      </c>
      <c r="D52" s="68">
        <v>1.1000000000000001</v>
      </c>
      <c r="E52" s="68">
        <v>1.1000000000000001</v>
      </c>
      <c r="F52" s="68">
        <v>1.1000000000000001</v>
      </c>
      <c r="G52" s="676">
        <v>0</v>
      </c>
      <c r="H52" s="69">
        <v>0</v>
      </c>
      <c r="I52" s="69">
        <v>0</v>
      </c>
      <c r="J52" s="677">
        <v>0</v>
      </c>
      <c r="K52" s="69">
        <v>0</v>
      </c>
      <c r="L52" s="68">
        <v>0</v>
      </c>
      <c r="M52" s="68">
        <v>0</v>
      </c>
      <c r="N52" s="68">
        <v>0</v>
      </c>
      <c r="O52" s="655">
        <v>0</v>
      </c>
      <c r="P52" s="68">
        <v>0</v>
      </c>
      <c r="Q52" s="68">
        <v>0</v>
      </c>
      <c r="R52" s="656">
        <v>0</v>
      </c>
      <c r="S52" s="68">
        <v>0</v>
      </c>
      <c r="T52" s="68">
        <v>0</v>
      </c>
      <c r="U52" s="68">
        <v>0</v>
      </c>
      <c r="V52" s="68">
        <v>0.1</v>
      </c>
      <c r="W52" s="655">
        <v>0</v>
      </c>
      <c r="X52" s="68">
        <v>0</v>
      </c>
      <c r="Y52" s="68">
        <v>25</v>
      </c>
      <c r="Z52" s="656">
        <v>30.5</v>
      </c>
      <c r="AA52" s="68">
        <v>0</v>
      </c>
      <c r="AB52" s="68">
        <v>6.4</v>
      </c>
      <c r="AC52" s="68">
        <v>30</v>
      </c>
      <c r="AD52" s="68">
        <v>29.3</v>
      </c>
      <c r="AE52" s="655">
        <v>0</v>
      </c>
      <c r="AF52" s="68">
        <v>0</v>
      </c>
      <c r="AG52" s="68">
        <v>0</v>
      </c>
      <c r="AH52" s="656">
        <v>0.7</v>
      </c>
      <c r="AI52" s="68">
        <v>0</v>
      </c>
      <c r="AJ52" s="68">
        <v>0</v>
      </c>
      <c r="AK52" s="68">
        <v>0</v>
      </c>
      <c r="AL52" s="68">
        <v>0.7</v>
      </c>
      <c r="AM52" s="655">
        <v>0</v>
      </c>
      <c r="AN52" s="68">
        <v>0</v>
      </c>
      <c r="AO52" s="68">
        <v>0</v>
      </c>
      <c r="AP52" s="656">
        <v>0</v>
      </c>
      <c r="AQ52" s="68">
        <v>0</v>
      </c>
      <c r="AR52" s="68">
        <v>0</v>
      </c>
      <c r="AS52" s="68">
        <v>0</v>
      </c>
      <c r="AT52" s="656">
        <v>0</v>
      </c>
      <c r="AU52" s="68">
        <v>0</v>
      </c>
      <c r="AV52" s="68">
        <v>56.2</v>
      </c>
      <c r="AW52" s="68">
        <v>146.1</v>
      </c>
      <c r="AX52" s="656">
        <v>272.5</v>
      </c>
      <c r="AY52" s="68">
        <v>60.5</v>
      </c>
      <c r="AZ52" s="68">
        <v>132.80000000000001</v>
      </c>
      <c r="BA52" s="68">
        <v>132.80000000000001</v>
      </c>
      <c r="BB52" s="663">
        <v>133</v>
      </c>
      <c r="BC52" s="68">
        <v>0.5</v>
      </c>
      <c r="BD52" s="68">
        <v>95.9</v>
      </c>
      <c r="BE52" s="68"/>
      <c r="BF52" s="663"/>
      <c r="BG52" s="934"/>
      <c r="BH52" s="540"/>
    </row>
    <row r="53" spans="1:62" ht="20.149999999999999" customHeight="1">
      <c r="A53" s="70" t="s">
        <v>378</v>
      </c>
      <c r="B53" s="672" t="s">
        <v>379</v>
      </c>
      <c r="C53" s="69">
        <v>0</v>
      </c>
      <c r="D53" s="69">
        <v>0</v>
      </c>
      <c r="E53" s="69">
        <v>0</v>
      </c>
      <c r="F53" s="69">
        <v>0</v>
      </c>
      <c r="G53" s="676">
        <v>0</v>
      </c>
      <c r="H53" s="69">
        <v>0</v>
      </c>
      <c r="I53" s="69">
        <v>0</v>
      </c>
      <c r="J53" s="677">
        <v>0</v>
      </c>
      <c r="K53" s="69">
        <v>0</v>
      </c>
      <c r="L53" s="68">
        <v>5</v>
      </c>
      <c r="M53" s="68">
        <v>5.5</v>
      </c>
      <c r="N53" s="68">
        <v>6.6</v>
      </c>
      <c r="O53" s="655">
        <v>1.2</v>
      </c>
      <c r="P53" s="68">
        <v>-2.1</v>
      </c>
      <c r="Q53" s="68">
        <v>3.2</v>
      </c>
      <c r="R53" s="656">
        <v>3.9</v>
      </c>
      <c r="S53" s="68">
        <v>-5</v>
      </c>
      <c r="T53" s="68">
        <v>-4</v>
      </c>
      <c r="U53" s="68">
        <v>-3.5</v>
      </c>
      <c r="V53" s="68">
        <v>-1.6</v>
      </c>
      <c r="W53" s="655">
        <v>-1.1000000000000001</v>
      </c>
      <c r="X53" s="68">
        <v>0</v>
      </c>
      <c r="Y53" s="92" t="s">
        <v>380</v>
      </c>
      <c r="Z53" s="658" t="s">
        <v>380</v>
      </c>
      <c r="AA53" s="68">
        <v>-1.5</v>
      </c>
      <c r="AB53" s="68">
        <v>0</v>
      </c>
      <c r="AC53" s="68">
        <v>0</v>
      </c>
      <c r="AD53" s="92">
        <v>0</v>
      </c>
      <c r="AE53" s="655">
        <v>0</v>
      </c>
      <c r="AF53" s="68">
        <v>0</v>
      </c>
      <c r="AG53" s="68">
        <v>0</v>
      </c>
      <c r="AH53" s="658">
        <v>0</v>
      </c>
      <c r="AI53" s="68">
        <v>0</v>
      </c>
      <c r="AJ53" s="68">
        <v>0</v>
      </c>
      <c r="AK53" s="68">
        <v>0</v>
      </c>
      <c r="AL53" s="92">
        <v>0</v>
      </c>
      <c r="AM53" s="655">
        <v>0</v>
      </c>
      <c r="AN53" s="68">
        <v>0</v>
      </c>
      <c r="AO53" s="68">
        <v>0</v>
      </c>
      <c r="AP53" s="658">
        <v>0</v>
      </c>
      <c r="AQ53" s="68">
        <v>0</v>
      </c>
      <c r="AR53" s="68">
        <v>0</v>
      </c>
      <c r="AS53" s="68">
        <v>0</v>
      </c>
      <c r="AT53" s="658">
        <v>0</v>
      </c>
      <c r="AU53" s="68">
        <v>0</v>
      </c>
      <c r="AV53" s="68">
        <v>0</v>
      </c>
      <c r="AW53" s="68">
        <v>0</v>
      </c>
      <c r="AX53" s="658">
        <v>0</v>
      </c>
      <c r="AY53" s="68">
        <v>0</v>
      </c>
      <c r="AZ53" s="68">
        <v>0</v>
      </c>
      <c r="BA53" s="68">
        <v>0</v>
      </c>
      <c r="BB53" s="663">
        <v>0</v>
      </c>
      <c r="BC53" s="68">
        <v>0</v>
      </c>
      <c r="BD53" s="68">
        <v>0</v>
      </c>
      <c r="BE53" s="68"/>
      <c r="BF53" s="663"/>
      <c r="BG53" s="934"/>
      <c r="BH53" s="540"/>
    </row>
    <row r="54" spans="1:62" ht="20.149999999999999" customHeight="1">
      <c r="A54" s="70" t="s">
        <v>790</v>
      </c>
      <c r="B54" s="672" t="s">
        <v>791</v>
      </c>
      <c r="C54" s="69">
        <v>0</v>
      </c>
      <c r="D54" s="68">
        <v>1.258</v>
      </c>
      <c r="E54" s="68">
        <v>1.258</v>
      </c>
      <c r="F54" s="68">
        <v>2.706</v>
      </c>
      <c r="G54" s="655">
        <v>0</v>
      </c>
      <c r="H54" s="68">
        <v>2.5150000000000001</v>
      </c>
      <c r="I54" s="68">
        <v>2.5150000000000001</v>
      </c>
      <c r="J54" s="656">
        <v>2.5150000000000001</v>
      </c>
      <c r="K54" s="68">
        <v>2.5300000000000002</v>
      </c>
      <c r="L54" s="68">
        <v>2.5</v>
      </c>
      <c r="M54" s="68">
        <v>2.5</v>
      </c>
      <c r="N54" s="68">
        <v>2.5</v>
      </c>
      <c r="O54" s="655">
        <v>0</v>
      </c>
      <c r="P54" s="68">
        <v>0</v>
      </c>
      <c r="Q54" s="68">
        <v>0</v>
      </c>
      <c r="R54" s="656">
        <v>0</v>
      </c>
      <c r="S54" s="68">
        <v>0</v>
      </c>
      <c r="T54" s="68">
        <v>0</v>
      </c>
      <c r="U54" s="68">
        <v>0</v>
      </c>
      <c r="V54" s="68">
        <v>0</v>
      </c>
      <c r="W54" s="655">
        <v>0</v>
      </c>
      <c r="X54" s="68">
        <v>0</v>
      </c>
      <c r="Y54" s="68">
        <v>0</v>
      </c>
      <c r="Z54" s="656">
        <v>0</v>
      </c>
      <c r="AA54" s="68">
        <v>0</v>
      </c>
      <c r="AB54" s="68">
        <v>0</v>
      </c>
      <c r="AC54" s="68">
        <v>0</v>
      </c>
      <c r="AD54" s="68">
        <v>0</v>
      </c>
      <c r="AE54" s="655">
        <v>0</v>
      </c>
      <c r="AF54" s="68">
        <v>0</v>
      </c>
      <c r="AG54" s="68">
        <v>0</v>
      </c>
      <c r="AH54" s="656">
        <v>0</v>
      </c>
      <c r="AI54" s="68">
        <v>0</v>
      </c>
      <c r="AJ54" s="68">
        <v>0</v>
      </c>
      <c r="AK54" s="68">
        <v>0</v>
      </c>
      <c r="AL54" s="68">
        <v>0</v>
      </c>
      <c r="AM54" s="655">
        <v>0</v>
      </c>
      <c r="AN54" s="68">
        <v>56.8</v>
      </c>
      <c r="AO54" s="68">
        <v>57.2</v>
      </c>
      <c r="AP54" s="656">
        <v>57.2</v>
      </c>
      <c r="AQ54" s="68">
        <v>0</v>
      </c>
      <c r="AR54" s="664">
        <v>59.2</v>
      </c>
      <c r="AS54" s="68">
        <v>59.2</v>
      </c>
      <c r="AT54" s="656">
        <v>59.2</v>
      </c>
      <c r="AU54" s="68">
        <v>0</v>
      </c>
      <c r="AV54" s="68">
        <v>64</v>
      </c>
      <c r="AW54" s="68">
        <v>64</v>
      </c>
      <c r="AX54" s="656">
        <v>64</v>
      </c>
      <c r="AY54" s="68">
        <v>7.1</v>
      </c>
      <c r="AZ54" s="775">
        <v>73.8</v>
      </c>
      <c r="BA54" s="68">
        <v>73.8</v>
      </c>
      <c r="BB54" s="663">
        <v>73.8</v>
      </c>
      <c r="BC54" s="68">
        <v>0</v>
      </c>
      <c r="BD54" s="775">
        <v>30.8</v>
      </c>
      <c r="BE54" s="68"/>
      <c r="BF54" s="663"/>
      <c r="BG54" s="932"/>
      <c r="BH54" s="933"/>
    </row>
    <row r="55" spans="1:62" s="100" customFormat="1" ht="20.149999999999999" customHeight="1">
      <c r="A55" s="194" t="s">
        <v>381</v>
      </c>
      <c r="B55" s="673" t="s">
        <v>382</v>
      </c>
      <c r="C55" s="260"/>
      <c r="D55" s="259"/>
      <c r="E55" s="259"/>
      <c r="F55" s="259"/>
      <c r="G55" s="662"/>
      <c r="H55" s="259"/>
      <c r="I55" s="259"/>
      <c r="J55" s="663"/>
      <c r="K55" s="259"/>
      <c r="L55" s="259"/>
      <c r="M55" s="259"/>
      <c r="N55" s="259"/>
      <c r="O55" s="662"/>
      <c r="P55" s="259"/>
      <c r="Q55" s="259"/>
      <c r="R55" s="663"/>
      <c r="S55" s="259"/>
      <c r="T55" s="259"/>
      <c r="U55" s="259"/>
      <c r="V55" s="259"/>
      <c r="W55" s="662"/>
      <c r="X55" s="259"/>
      <c r="Y55" s="259"/>
      <c r="Z55" s="663"/>
      <c r="AA55" s="259"/>
      <c r="AB55" s="259"/>
      <c r="AC55" s="259"/>
      <c r="AD55" s="259"/>
      <c r="AE55" s="662"/>
      <c r="AF55" s="259">
        <v>8.6999999999999993</v>
      </c>
      <c r="AG55" s="259">
        <v>8.6999999999999993</v>
      </c>
      <c r="AH55" s="663">
        <v>8.6999999999999993</v>
      </c>
      <c r="AI55" s="259"/>
      <c r="AJ55" s="259">
        <v>8.6999999999999993</v>
      </c>
      <c r="AK55" s="259">
        <v>8.6999999999999993</v>
      </c>
      <c r="AL55" s="259">
        <v>8.6999999999999993</v>
      </c>
      <c r="AM55" s="662">
        <v>0</v>
      </c>
      <c r="AN55" s="259">
        <v>1.4</v>
      </c>
      <c r="AO55" s="259">
        <v>1.4</v>
      </c>
      <c r="AP55" s="663">
        <v>1.4</v>
      </c>
      <c r="AQ55" s="259">
        <v>8.6</v>
      </c>
      <c r="AR55" s="664">
        <v>8.6</v>
      </c>
      <c r="AS55" s="259">
        <v>8.6</v>
      </c>
      <c r="AT55" s="663">
        <v>8.6</v>
      </c>
      <c r="AU55" s="259">
        <v>0</v>
      </c>
      <c r="AV55" s="68">
        <v>0</v>
      </c>
      <c r="AW55" s="68">
        <v>0</v>
      </c>
      <c r="AX55" s="663">
        <v>0</v>
      </c>
      <c r="AY55" s="259">
        <v>0</v>
      </c>
      <c r="AZ55" s="68">
        <v>22</v>
      </c>
      <c r="BA55" s="68">
        <v>22</v>
      </c>
      <c r="BB55" s="663">
        <v>22</v>
      </c>
      <c r="BC55" s="68">
        <v>0</v>
      </c>
      <c r="BD55" s="68">
        <v>0</v>
      </c>
      <c r="BE55" s="68"/>
      <c r="BF55" s="663"/>
      <c r="BG55" s="934"/>
      <c r="BH55" s="540"/>
    </row>
    <row r="56" spans="1:62" ht="20.149999999999999" customHeight="1">
      <c r="A56" s="70" t="s">
        <v>383</v>
      </c>
      <c r="B56" s="672" t="s">
        <v>384</v>
      </c>
      <c r="C56" s="69">
        <v>0</v>
      </c>
      <c r="D56" s="69">
        <v>0</v>
      </c>
      <c r="E56" s="69">
        <v>0</v>
      </c>
      <c r="F56" s="69">
        <v>0</v>
      </c>
      <c r="G56" s="676">
        <v>0</v>
      </c>
      <c r="H56" s="69">
        <v>0</v>
      </c>
      <c r="I56" s="69">
        <v>0</v>
      </c>
      <c r="J56" s="677">
        <v>0</v>
      </c>
      <c r="K56" s="69">
        <v>0</v>
      </c>
      <c r="L56" s="68">
        <v>0</v>
      </c>
      <c r="M56" s="68">
        <v>0</v>
      </c>
      <c r="N56" s="68">
        <v>0</v>
      </c>
      <c r="O56" s="655">
        <v>0</v>
      </c>
      <c r="P56" s="68">
        <v>0</v>
      </c>
      <c r="Q56" s="68">
        <v>0</v>
      </c>
      <c r="R56" s="656">
        <v>0</v>
      </c>
      <c r="S56" s="68">
        <v>0</v>
      </c>
      <c r="T56" s="68">
        <v>1</v>
      </c>
      <c r="U56" s="68">
        <v>1</v>
      </c>
      <c r="V56" s="68">
        <v>3.5</v>
      </c>
      <c r="W56" s="655">
        <v>1.2</v>
      </c>
      <c r="X56" s="68">
        <v>-0.5</v>
      </c>
      <c r="Y56" s="68">
        <v>5.9</v>
      </c>
      <c r="Z56" s="656">
        <v>6.4</v>
      </c>
      <c r="AA56" s="68">
        <v>1.1000000000000001</v>
      </c>
      <c r="AB56" s="68">
        <v>-0.9</v>
      </c>
      <c r="AC56" s="68">
        <v>-5.9</v>
      </c>
      <c r="AD56" s="68">
        <v>1.2</v>
      </c>
      <c r="AE56" s="655">
        <v>3</v>
      </c>
      <c r="AF56" s="68">
        <v>0.5</v>
      </c>
      <c r="AG56" s="68">
        <v>2.4</v>
      </c>
      <c r="AH56" s="656">
        <v>0.7</v>
      </c>
      <c r="AI56" s="68">
        <v>3</v>
      </c>
      <c r="AJ56" s="68">
        <v>0.5</v>
      </c>
      <c r="AK56" s="68">
        <v>2.4</v>
      </c>
      <c r="AL56" s="68">
        <v>0.7</v>
      </c>
      <c r="AM56" s="655">
        <v>2.9</v>
      </c>
      <c r="AN56" s="68">
        <v>1.8</v>
      </c>
      <c r="AO56" s="68">
        <v>3.3</v>
      </c>
      <c r="AP56" s="656">
        <v>3.3</v>
      </c>
      <c r="AQ56" s="68">
        <v>1.4</v>
      </c>
      <c r="AR56" s="665">
        <v>2</v>
      </c>
      <c r="AS56" s="68">
        <v>2.5</v>
      </c>
      <c r="AT56" s="656">
        <v>-0.2</v>
      </c>
      <c r="AU56" s="68">
        <v>1.6</v>
      </c>
      <c r="AV56" s="775">
        <v>1.9</v>
      </c>
      <c r="AW56" s="775">
        <v>6.8</v>
      </c>
      <c r="AX56" s="656">
        <v>11.8</v>
      </c>
      <c r="AY56" s="68">
        <v>6.4</v>
      </c>
      <c r="AZ56" s="6">
        <v>8.3000000000000007</v>
      </c>
      <c r="BA56" s="68">
        <v>9.5</v>
      </c>
      <c r="BB56" s="663">
        <v>11.6</v>
      </c>
      <c r="BC56" s="68">
        <v>-2</v>
      </c>
      <c r="BD56" s="6">
        <v>3.7</v>
      </c>
      <c r="BE56" s="68"/>
      <c r="BF56" s="663"/>
      <c r="BG56" s="934"/>
      <c r="BH56" s="540"/>
    </row>
    <row r="57" spans="1:62" s="264" customFormat="1" ht="25.25" customHeight="1">
      <c r="A57" s="384" t="s">
        <v>385</v>
      </c>
      <c r="B57" s="674" t="s">
        <v>386</v>
      </c>
      <c r="C57" s="385">
        <f t="shared" ref="C57:AN57" si="16">SUM(C40:C56)</f>
        <v>-24.143000000000004</v>
      </c>
      <c r="D57" s="385">
        <f t="shared" si="16"/>
        <v>-83.230000000000018</v>
      </c>
      <c r="E57" s="385">
        <f t="shared" si="16"/>
        <v>-107.08400000000002</v>
      </c>
      <c r="F57" s="385">
        <f t="shared" si="16"/>
        <v>-133.43099999999998</v>
      </c>
      <c r="G57" s="660">
        <f t="shared" si="16"/>
        <v>-34.882999999999996</v>
      </c>
      <c r="H57" s="385">
        <f t="shared" si="16"/>
        <v>-58.354000000000006</v>
      </c>
      <c r="I57" s="385">
        <f t="shared" si="16"/>
        <v>-110.15100000000002</v>
      </c>
      <c r="J57" s="661">
        <f t="shared" si="16"/>
        <v>-133.83700000000002</v>
      </c>
      <c r="K57" s="385">
        <f t="shared" si="16"/>
        <v>-36.552999999999997</v>
      </c>
      <c r="L57" s="385">
        <f t="shared" si="16"/>
        <v>1394.1000000000001</v>
      </c>
      <c r="M57" s="385">
        <f t="shared" si="16"/>
        <v>1042.3</v>
      </c>
      <c r="N57" s="385">
        <f t="shared" si="16"/>
        <v>972.80000000000007</v>
      </c>
      <c r="O57" s="660">
        <f t="shared" si="16"/>
        <v>-208.2</v>
      </c>
      <c r="P57" s="385">
        <f t="shared" si="16"/>
        <v>-347.59999999999997</v>
      </c>
      <c r="Q57" s="385">
        <f t="shared" si="16"/>
        <v>-576.29999999999995</v>
      </c>
      <c r="R57" s="661">
        <f t="shared" si="16"/>
        <v>-726.60000000000014</v>
      </c>
      <c r="S57" s="385">
        <f t="shared" si="16"/>
        <v>-24.899999999999988</v>
      </c>
      <c r="T57" s="385">
        <f t="shared" si="16"/>
        <v>-541.09999999999991</v>
      </c>
      <c r="U57" s="385">
        <f t="shared" si="16"/>
        <v>-815.19999999999993</v>
      </c>
      <c r="V57" s="385">
        <f t="shared" si="16"/>
        <v>-1003.4</v>
      </c>
      <c r="W57" s="660">
        <f t="shared" si="16"/>
        <v>-159.20000000000002</v>
      </c>
      <c r="X57" s="385">
        <f t="shared" si="16"/>
        <v>-367.5</v>
      </c>
      <c r="Y57" s="385">
        <f t="shared" si="16"/>
        <v>-657.20000000000016</v>
      </c>
      <c r="Z57" s="661">
        <f t="shared" si="16"/>
        <v>-1573.2999999999997</v>
      </c>
      <c r="AA57" s="385">
        <f t="shared" si="16"/>
        <v>-255.4</v>
      </c>
      <c r="AB57" s="385">
        <f t="shared" si="16"/>
        <v>-637.70000000000005</v>
      </c>
      <c r="AC57" s="385">
        <f t="shared" si="16"/>
        <v>-1197.3000000000002</v>
      </c>
      <c r="AD57" s="385">
        <f t="shared" si="16"/>
        <v>-1835.5</v>
      </c>
      <c r="AE57" s="660">
        <f t="shared" si="16"/>
        <v>-367.19999999999993</v>
      </c>
      <c r="AF57" s="385">
        <f t="shared" si="16"/>
        <v>-731.99999999999989</v>
      </c>
      <c r="AG57" s="385">
        <f t="shared" si="16"/>
        <v>-1181.4999999999998</v>
      </c>
      <c r="AH57" s="661">
        <f t="shared" si="16"/>
        <v>-2715.1000000000008</v>
      </c>
      <c r="AI57" s="385">
        <f t="shared" si="16"/>
        <v>-367.19999999999993</v>
      </c>
      <c r="AJ57" s="385">
        <f t="shared" si="16"/>
        <v>-731.99999999999989</v>
      </c>
      <c r="AK57" s="385">
        <f t="shared" si="16"/>
        <v>-1181.4999999999998</v>
      </c>
      <c r="AL57" s="385">
        <f t="shared" si="16"/>
        <v>-2715.1000000000008</v>
      </c>
      <c r="AM57" s="660">
        <f t="shared" si="16"/>
        <v>-364</v>
      </c>
      <c r="AN57" s="385">
        <f t="shared" si="16"/>
        <v>-544.1</v>
      </c>
      <c r="AO57" s="385">
        <v>-1361</v>
      </c>
      <c r="AP57" s="661">
        <f t="shared" ref="AP57:AX57" si="17">SUM(AP40:AP56)</f>
        <v>-1786.3</v>
      </c>
      <c r="AQ57" s="385">
        <f t="shared" si="17"/>
        <v>-374.20000000000005</v>
      </c>
      <c r="AR57" s="385">
        <f t="shared" si="17"/>
        <v>-1339.2</v>
      </c>
      <c r="AS57" s="385">
        <f t="shared" si="17"/>
        <v>4646</v>
      </c>
      <c r="AT57" s="661">
        <f t="shared" si="17"/>
        <v>4327.9000000000005</v>
      </c>
      <c r="AU57" s="385">
        <f t="shared" si="17"/>
        <v>-534.79999999999984</v>
      </c>
      <c r="AV57" s="385">
        <f t="shared" si="17"/>
        <v>-1682.6</v>
      </c>
      <c r="AW57" s="385">
        <f t="shared" si="17"/>
        <v>-1402.5000000000002</v>
      </c>
      <c r="AX57" s="661">
        <f t="shared" si="17"/>
        <v>-1876.6000000000001</v>
      </c>
      <c r="AY57" s="385">
        <f>SUM(AY40:AY56)</f>
        <v>-1211.0999999999999</v>
      </c>
      <c r="AZ57" s="385">
        <f>SUM(AZ40:AZ56)</f>
        <v>-1481.9</v>
      </c>
      <c r="BA57" s="385">
        <f t="shared" ref="BA57:BB57" si="18">SUM(BA40:BA56)</f>
        <v>-1234.7</v>
      </c>
      <c r="BB57" s="385">
        <f t="shared" si="18"/>
        <v>-2215.7000000000007</v>
      </c>
      <c r="BC57" s="385">
        <f>SUM(BC40:BC56)</f>
        <v>-597.20000000000005</v>
      </c>
      <c r="BD57" s="385">
        <f>SUM(BD40:BD56)</f>
        <v>-720.10000000000014</v>
      </c>
      <c r="BE57" s="385"/>
      <c r="BF57" s="385"/>
      <c r="BG57" s="934"/>
      <c r="BH57" s="540"/>
      <c r="BI57" s="937"/>
      <c r="BJ57" s="967"/>
    </row>
    <row r="58" spans="1:62" ht="20.149999999999999" customHeight="1">
      <c r="A58" s="70" t="s">
        <v>387</v>
      </c>
      <c r="B58" s="672" t="s">
        <v>388</v>
      </c>
      <c r="C58" s="68">
        <v>-26.754999999999999</v>
      </c>
      <c r="D58" s="68">
        <v>-155.76300000000001</v>
      </c>
      <c r="E58" s="68">
        <v>-397.57499999999999</v>
      </c>
      <c r="F58" s="68">
        <v>-453.32400000000001</v>
      </c>
      <c r="G58" s="655">
        <v>-49.813000000000002</v>
      </c>
      <c r="H58" s="68">
        <v>-192.59</v>
      </c>
      <c r="I58" s="68">
        <v>-366.16200000000003</v>
      </c>
      <c r="J58" s="656">
        <v>-431.11700000000002</v>
      </c>
      <c r="K58" s="68">
        <v>-37.393999999999998</v>
      </c>
      <c r="L58" s="68">
        <v>-547.1</v>
      </c>
      <c r="M58" s="68">
        <v>-747.1</v>
      </c>
      <c r="N58" s="68">
        <v>-1087.0999999999999</v>
      </c>
      <c r="O58" s="655">
        <v>-157</v>
      </c>
      <c r="P58" s="68">
        <v>-954.2</v>
      </c>
      <c r="Q58" s="68">
        <v>-9222.2000000000007</v>
      </c>
      <c r="R58" s="656">
        <v>-9222.2000000000007</v>
      </c>
      <c r="S58" s="68">
        <v>-916.1</v>
      </c>
      <c r="T58" s="68">
        <v>-1498.9</v>
      </c>
      <c r="U58" s="68">
        <v>-1706.9</v>
      </c>
      <c r="V58" s="68">
        <v>-1940.9</v>
      </c>
      <c r="W58" s="655">
        <v>-234</v>
      </c>
      <c r="X58" s="68">
        <v>-568</v>
      </c>
      <c r="Y58" s="68">
        <v>-802</v>
      </c>
      <c r="Z58" s="656">
        <v>-1162.5</v>
      </c>
      <c r="AA58" s="68">
        <v>-550</v>
      </c>
      <c r="AB58" s="68">
        <v>-652</v>
      </c>
      <c r="AC58" s="68">
        <v>-1077.8</v>
      </c>
      <c r="AD58" s="68">
        <v>-1282.2</v>
      </c>
      <c r="AE58" s="655">
        <v>-584.4</v>
      </c>
      <c r="AF58" s="68">
        <v>-851.6</v>
      </c>
      <c r="AG58" s="68">
        <v>-1406</v>
      </c>
      <c r="AH58" s="656">
        <v>-1742.5</v>
      </c>
      <c r="AI58" s="68">
        <v>-584.4</v>
      </c>
      <c r="AJ58" s="68">
        <v>-851.6</v>
      </c>
      <c r="AK58" s="68">
        <v>-1406</v>
      </c>
      <c r="AL58" s="68">
        <v>-1742.5</v>
      </c>
      <c r="AM58" s="655">
        <v>-857.2</v>
      </c>
      <c r="AN58" s="68">
        <v>-857.9</v>
      </c>
      <c r="AO58" s="68">
        <v>-857.9</v>
      </c>
      <c r="AP58" s="656">
        <v>-857.9</v>
      </c>
      <c r="AQ58" s="68">
        <v>0</v>
      </c>
      <c r="AR58" s="68">
        <v>-200</v>
      </c>
      <c r="AS58" s="68">
        <v>-1472.4</v>
      </c>
      <c r="AT58" s="656">
        <v>-2682.8</v>
      </c>
      <c r="AU58" s="68">
        <v>-200</v>
      </c>
      <c r="AV58" s="68">
        <v>-645.1</v>
      </c>
      <c r="AW58" s="259">
        <v>-845.1</v>
      </c>
      <c r="AX58" s="656">
        <v>-1045.0999999999999</v>
      </c>
      <c r="AY58" s="68">
        <v>-200</v>
      </c>
      <c r="AZ58" s="259">
        <v>-752.5</v>
      </c>
      <c r="BA58" s="259">
        <v>-760.1</v>
      </c>
      <c r="BB58" s="663">
        <v>-2327</v>
      </c>
      <c r="BC58" s="68">
        <v>-22.1</v>
      </c>
      <c r="BD58" s="259">
        <v>-161.5</v>
      </c>
      <c r="BE58" s="259"/>
      <c r="BF58" s="663"/>
      <c r="BG58" s="934"/>
      <c r="BH58" s="540"/>
    </row>
    <row r="59" spans="1:62" ht="20.149999999999999" customHeight="1">
      <c r="A59" s="70" t="s">
        <v>389</v>
      </c>
      <c r="B59" s="672" t="s">
        <v>390</v>
      </c>
      <c r="C59" s="69">
        <v>0</v>
      </c>
      <c r="D59" s="69">
        <v>0</v>
      </c>
      <c r="E59" s="69">
        <v>0</v>
      </c>
      <c r="F59" s="69">
        <v>0</v>
      </c>
      <c r="G59" s="676">
        <v>0</v>
      </c>
      <c r="H59" s="69">
        <v>0</v>
      </c>
      <c r="I59" s="69">
        <v>0</v>
      </c>
      <c r="J59" s="677">
        <v>0</v>
      </c>
      <c r="K59" s="69">
        <v>0</v>
      </c>
      <c r="L59" s="68">
        <v>2800</v>
      </c>
      <c r="M59" s="68">
        <v>2800</v>
      </c>
      <c r="N59" s="68">
        <v>2800</v>
      </c>
      <c r="O59" s="655">
        <v>50</v>
      </c>
      <c r="P59" s="68">
        <v>120</v>
      </c>
      <c r="Q59" s="68">
        <v>6820</v>
      </c>
      <c r="R59" s="656">
        <v>6820</v>
      </c>
      <c r="S59" s="68">
        <v>5500</v>
      </c>
      <c r="T59" s="68">
        <v>5500</v>
      </c>
      <c r="U59" s="68">
        <v>5500</v>
      </c>
      <c r="V59" s="68">
        <v>5500</v>
      </c>
      <c r="W59" s="655">
        <v>0</v>
      </c>
      <c r="X59" s="68">
        <v>600</v>
      </c>
      <c r="Y59" s="68">
        <v>600</v>
      </c>
      <c r="Z59" s="656">
        <v>1200</v>
      </c>
      <c r="AA59" s="68">
        <v>0</v>
      </c>
      <c r="AB59" s="68">
        <v>18.100000000000001</v>
      </c>
      <c r="AC59" s="68">
        <v>635.29999999999995</v>
      </c>
      <c r="AD59" s="68">
        <v>635.29999999999995</v>
      </c>
      <c r="AE59" s="655">
        <v>0</v>
      </c>
      <c r="AF59" s="68">
        <v>0</v>
      </c>
      <c r="AG59" s="68">
        <v>780</v>
      </c>
      <c r="AH59" s="656">
        <v>2010</v>
      </c>
      <c r="AI59" s="68">
        <v>0</v>
      </c>
      <c r="AJ59" s="68">
        <v>0</v>
      </c>
      <c r="AK59" s="68">
        <v>780</v>
      </c>
      <c r="AL59" s="68">
        <v>2010</v>
      </c>
      <c r="AM59" s="655">
        <v>35</v>
      </c>
      <c r="AN59" s="68">
        <v>35</v>
      </c>
      <c r="AO59" s="68">
        <v>35</v>
      </c>
      <c r="AP59" s="656">
        <v>35</v>
      </c>
      <c r="AQ59" s="68">
        <v>0</v>
      </c>
      <c r="AR59" s="68">
        <v>110</v>
      </c>
      <c r="AS59" s="68">
        <v>1665</v>
      </c>
      <c r="AT59" s="656">
        <v>1665</v>
      </c>
      <c r="AU59" s="68">
        <v>0</v>
      </c>
      <c r="AV59" s="68">
        <v>7.1</v>
      </c>
      <c r="AW59" s="68">
        <v>7.1</v>
      </c>
      <c r="AX59" s="656">
        <v>141.19999999999999</v>
      </c>
      <c r="AY59" s="68">
        <v>865.9</v>
      </c>
      <c r="AZ59" s="68">
        <v>3147.7</v>
      </c>
      <c r="BA59" s="259">
        <v>3162.9</v>
      </c>
      <c r="BB59" s="663">
        <v>3885.1</v>
      </c>
      <c r="BC59" s="68">
        <v>39.4</v>
      </c>
      <c r="BD59" s="68">
        <v>222.9</v>
      </c>
      <c r="BE59" s="259"/>
      <c r="BF59" s="663"/>
      <c r="BG59" s="934"/>
      <c r="BH59" s="540"/>
    </row>
    <row r="60" spans="1:62" s="100" customFormat="1" ht="20.149999999999999" customHeight="1">
      <c r="A60" s="194" t="s">
        <v>391</v>
      </c>
      <c r="B60" s="673" t="s">
        <v>392</v>
      </c>
      <c r="C60" s="260">
        <v>0</v>
      </c>
      <c r="D60" s="260">
        <v>0</v>
      </c>
      <c r="E60" s="260">
        <v>0</v>
      </c>
      <c r="F60" s="260">
        <v>0</v>
      </c>
      <c r="G60" s="678">
        <v>0</v>
      </c>
      <c r="H60" s="260">
        <v>0</v>
      </c>
      <c r="I60" s="260">
        <v>0</v>
      </c>
      <c r="J60" s="679">
        <v>0</v>
      </c>
      <c r="K60" s="260">
        <v>0</v>
      </c>
      <c r="L60" s="259">
        <v>-2275.9</v>
      </c>
      <c r="M60" s="259">
        <v>-2275.9</v>
      </c>
      <c r="N60" s="259">
        <v>-2275.9</v>
      </c>
      <c r="O60" s="662">
        <v>0</v>
      </c>
      <c r="P60" s="259">
        <v>0</v>
      </c>
      <c r="Q60" s="259">
        <v>1000</v>
      </c>
      <c r="R60" s="663">
        <v>1000</v>
      </c>
      <c r="S60" s="259">
        <v>-4483.8</v>
      </c>
      <c r="T60" s="259">
        <v>-4483.8</v>
      </c>
      <c r="U60" s="259">
        <v>-4483.8</v>
      </c>
      <c r="V60" s="259">
        <v>-4484</v>
      </c>
      <c r="W60" s="662">
        <v>0</v>
      </c>
      <c r="X60" s="259">
        <v>-886.7</v>
      </c>
      <c r="Y60" s="259">
        <v>-886.7</v>
      </c>
      <c r="Z60" s="663">
        <v>-886.7</v>
      </c>
      <c r="AA60" s="259">
        <v>0</v>
      </c>
      <c r="AB60" s="259">
        <v>0</v>
      </c>
      <c r="AC60" s="259">
        <v>0</v>
      </c>
      <c r="AD60" s="259">
        <v>0</v>
      </c>
      <c r="AE60" s="662">
        <v>0</v>
      </c>
      <c r="AF60" s="261" t="s">
        <v>393</v>
      </c>
      <c r="AG60" s="261" t="s">
        <v>393</v>
      </c>
      <c r="AH60" s="658" t="s">
        <v>393</v>
      </c>
      <c r="AI60" s="259">
        <v>0</v>
      </c>
      <c r="AJ60" s="261" t="s">
        <v>393</v>
      </c>
      <c r="AK60" s="261" t="s">
        <v>393</v>
      </c>
      <c r="AL60" s="92" t="s">
        <v>393</v>
      </c>
      <c r="AM60" s="662">
        <v>1000</v>
      </c>
      <c r="AN60" s="259">
        <v>1000</v>
      </c>
      <c r="AO60" s="259">
        <v>1000</v>
      </c>
      <c r="AP60" s="656">
        <v>1000</v>
      </c>
      <c r="AQ60" s="259">
        <v>0</v>
      </c>
      <c r="AR60" s="259">
        <v>0</v>
      </c>
      <c r="AS60" s="259">
        <v>0</v>
      </c>
      <c r="AT60" s="656">
        <v>0</v>
      </c>
      <c r="AU60" s="259">
        <v>0</v>
      </c>
      <c r="AV60" s="259">
        <v>0</v>
      </c>
      <c r="AW60" s="259">
        <v>0</v>
      </c>
      <c r="AX60" s="656">
        <v>0</v>
      </c>
      <c r="AY60" s="259">
        <v>1142.0999999999999</v>
      </c>
      <c r="AZ60" s="259">
        <v>1088</v>
      </c>
      <c r="BA60" s="259">
        <v>1745.3</v>
      </c>
      <c r="BB60" s="663">
        <v>2145.3000000000002</v>
      </c>
      <c r="BC60" s="68">
        <v>-311.89999999999998</v>
      </c>
      <c r="BD60" s="259">
        <v>-311.89999999999998</v>
      </c>
      <c r="BE60" s="259"/>
      <c r="BF60" s="663"/>
      <c r="BG60" s="934"/>
      <c r="BH60" s="540"/>
    </row>
    <row r="61" spans="1:62" ht="20.149999999999999" customHeight="1">
      <c r="A61" s="70" t="s">
        <v>394</v>
      </c>
      <c r="B61" s="672" t="s">
        <v>395</v>
      </c>
      <c r="C61" s="69"/>
      <c r="D61" s="69"/>
      <c r="E61" s="69"/>
      <c r="F61" s="69"/>
      <c r="G61" s="676"/>
      <c r="H61" s="69"/>
      <c r="I61" s="69"/>
      <c r="J61" s="677"/>
      <c r="K61" s="69"/>
      <c r="L61" s="68"/>
      <c r="M61" s="68"/>
      <c r="N61" s="68"/>
      <c r="O61" s="655"/>
      <c r="P61" s="68"/>
      <c r="Q61" s="68"/>
      <c r="R61" s="656"/>
      <c r="S61" s="68">
        <v>-262.10000000000002</v>
      </c>
      <c r="T61" s="68">
        <v>-262.10000000000002</v>
      </c>
      <c r="U61" s="68">
        <v>-262.10000000000002</v>
      </c>
      <c r="V61" s="68">
        <v>-262.10000000000002</v>
      </c>
      <c r="W61" s="655">
        <v>0</v>
      </c>
      <c r="X61" s="68">
        <v>-58.7</v>
      </c>
      <c r="Y61" s="68">
        <v>-58.7</v>
      </c>
      <c r="Z61" s="656">
        <v>-58.7</v>
      </c>
      <c r="AA61" s="68">
        <v>0</v>
      </c>
      <c r="AB61" s="68">
        <v>0</v>
      </c>
      <c r="AC61" s="68">
        <v>0</v>
      </c>
      <c r="AD61" s="68">
        <v>0</v>
      </c>
      <c r="AE61" s="655">
        <v>0</v>
      </c>
      <c r="AF61" s="68">
        <v>0</v>
      </c>
      <c r="AG61" s="68">
        <v>0</v>
      </c>
      <c r="AH61" s="656">
        <v>0</v>
      </c>
      <c r="AI61" s="68">
        <v>0</v>
      </c>
      <c r="AJ61" s="68">
        <v>0</v>
      </c>
      <c r="AK61" s="68">
        <v>0</v>
      </c>
      <c r="AL61" s="68">
        <v>0</v>
      </c>
      <c r="AM61" s="655">
        <v>0</v>
      </c>
      <c r="AN61" s="68">
        <v>0</v>
      </c>
      <c r="AO61" s="68">
        <v>0</v>
      </c>
      <c r="AP61" s="656">
        <v>0</v>
      </c>
      <c r="AQ61" s="68">
        <v>0</v>
      </c>
      <c r="AR61" s="68">
        <v>0</v>
      </c>
      <c r="AS61" s="68">
        <v>0</v>
      </c>
      <c r="AT61" s="656">
        <v>0</v>
      </c>
      <c r="AU61" s="68">
        <v>0</v>
      </c>
      <c r="AV61" s="68">
        <v>0</v>
      </c>
      <c r="AW61" s="68">
        <v>0</v>
      </c>
      <c r="AX61" s="656">
        <v>0</v>
      </c>
      <c r="AY61" s="68">
        <v>0</v>
      </c>
      <c r="AZ61" s="68">
        <v>0</v>
      </c>
      <c r="BA61" s="68">
        <v>0</v>
      </c>
      <c r="BB61" s="656">
        <v>0</v>
      </c>
      <c r="BC61" s="68">
        <v>0</v>
      </c>
      <c r="BD61" s="68">
        <v>0</v>
      </c>
      <c r="BE61" s="68"/>
      <c r="BF61" s="656"/>
      <c r="BG61" s="934"/>
      <c r="BH61" s="540"/>
    </row>
    <row r="62" spans="1:62" ht="25.5" customHeight="1">
      <c r="A62" s="70" t="s">
        <v>396</v>
      </c>
      <c r="B62" s="672" t="s">
        <v>397</v>
      </c>
      <c r="C62" s="69"/>
      <c r="D62" s="69"/>
      <c r="E62" s="69"/>
      <c r="F62" s="69"/>
      <c r="G62" s="676"/>
      <c r="H62" s="69"/>
      <c r="I62" s="69"/>
      <c r="J62" s="677"/>
      <c r="K62" s="69"/>
      <c r="L62" s="68"/>
      <c r="M62" s="68"/>
      <c r="N62" s="68"/>
      <c r="O62" s="655"/>
      <c r="P62" s="68"/>
      <c r="Q62" s="68"/>
      <c r="R62" s="656"/>
      <c r="S62" s="68">
        <v>175.4</v>
      </c>
      <c r="T62" s="68">
        <v>175.4</v>
      </c>
      <c r="U62" s="68">
        <v>175.4</v>
      </c>
      <c r="V62" s="68">
        <v>175.4</v>
      </c>
      <c r="W62" s="655">
        <v>0</v>
      </c>
      <c r="X62" s="68">
        <v>0</v>
      </c>
      <c r="Y62" s="68">
        <v>0</v>
      </c>
      <c r="Z62" s="656">
        <v>0</v>
      </c>
      <c r="AA62" s="68">
        <v>0</v>
      </c>
      <c r="AB62" s="68">
        <v>0</v>
      </c>
      <c r="AC62" s="68">
        <v>0</v>
      </c>
      <c r="AD62" s="68">
        <v>0</v>
      </c>
      <c r="AE62" s="655">
        <v>0</v>
      </c>
      <c r="AF62" s="68">
        <v>0</v>
      </c>
      <c r="AG62" s="68">
        <v>0</v>
      </c>
      <c r="AH62" s="656">
        <v>0</v>
      </c>
      <c r="AI62" s="68">
        <v>0</v>
      </c>
      <c r="AJ62" s="68">
        <v>0</v>
      </c>
      <c r="AK62" s="68">
        <v>0</v>
      </c>
      <c r="AL62" s="68">
        <v>0</v>
      </c>
      <c r="AM62" s="655">
        <v>0</v>
      </c>
      <c r="AN62" s="68">
        <v>0</v>
      </c>
      <c r="AO62" s="68">
        <v>0</v>
      </c>
      <c r="AP62" s="656">
        <v>0</v>
      </c>
      <c r="AQ62" s="68">
        <v>0</v>
      </c>
      <c r="AR62" s="68">
        <v>0</v>
      </c>
      <c r="AS62" s="68">
        <v>0</v>
      </c>
      <c r="AT62" s="656">
        <v>0</v>
      </c>
      <c r="AU62" s="68">
        <v>0</v>
      </c>
      <c r="AV62" s="68">
        <v>0</v>
      </c>
      <c r="AW62" s="68">
        <v>0</v>
      </c>
      <c r="AX62" s="656">
        <v>0</v>
      </c>
      <c r="AY62" s="68">
        <v>0</v>
      </c>
      <c r="AZ62" s="68">
        <v>0</v>
      </c>
      <c r="BA62" s="68">
        <v>0</v>
      </c>
      <c r="BB62" s="656">
        <v>0</v>
      </c>
      <c r="BC62" s="68">
        <v>0</v>
      </c>
      <c r="BD62" s="68">
        <v>0</v>
      </c>
      <c r="BE62" s="68"/>
      <c r="BF62" s="656"/>
      <c r="BG62" s="934"/>
      <c r="BH62" s="540"/>
    </row>
    <row r="63" spans="1:62" s="100" customFormat="1" ht="27.5">
      <c r="A63" s="194" t="s">
        <v>398</v>
      </c>
      <c r="B63" s="673" t="s">
        <v>399</v>
      </c>
      <c r="C63" s="259">
        <v>-26.132999999999999</v>
      </c>
      <c r="D63" s="259">
        <f>(-103258-821)*0.001</f>
        <v>-104.07900000000001</v>
      </c>
      <c r="E63" s="259">
        <f>(-125824-2250)*0.001</f>
        <v>-128.07400000000001</v>
      </c>
      <c r="F63" s="259">
        <f>(-195934-3683)*0.001</f>
        <v>-199.61699999999999</v>
      </c>
      <c r="G63" s="662">
        <f>(-15811-1035)*0.001</f>
        <v>-16.846</v>
      </c>
      <c r="H63" s="259">
        <f>(-84439-1241)*0.001</f>
        <v>-85.68</v>
      </c>
      <c r="I63" s="259">
        <f>(-96215-1689)*0.001</f>
        <v>-97.903999999999996</v>
      </c>
      <c r="J63" s="663">
        <v>-165.017</v>
      </c>
      <c r="K63" s="259">
        <v>-9.0950000000000006</v>
      </c>
      <c r="L63" s="259">
        <v>-348.3</v>
      </c>
      <c r="M63" s="259">
        <v>-733.5</v>
      </c>
      <c r="N63" s="259">
        <v>-872.2</v>
      </c>
      <c r="O63" s="662">
        <v>-357.9</v>
      </c>
      <c r="P63" s="259">
        <v>-472.3</v>
      </c>
      <c r="Q63" s="259">
        <v>-804.1</v>
      </c>
      <c r="R63" s="663">
        <v>-978.9</v>
      </c>
      <c r="S63" s="259">
        <v>-383.2</v>
      </c>
      <c r="T63" s="259">
        <v>-507.9</v>
      </c>
      <c r="U63" s="259">
        <v>-631.70000000000005</v>
      </c>
      <c r="V63" s="259">
        <v>-729.6</v>
      </c>
      <c r="W63" s="662">
        <v>-112.5</v>
      </c>
      <c r="X63" s="259">
        <v>-206</v>
      </c>
      <c r="Y63" s="259">
        <v>-319.60000000000002</v>
      </c>
      <c r="Z63" s="663">
        <v>-409.9</v>
      </c>
      <c r="AA63" s="259">
        <v>-138</v>
      </c>
      <c r="AB63" s="259">
        <v>-230.9</v>
      </c>
      <c r="AC63" s="259">
        <v>-342.8</v>
      </c>
      <c r="AD63" s="259">
        <v>-419</v>
      </c>
      <c r="AE63" s="662">
        <v>-107.1</v>
      </c>
      <c r="AF63" s="259">
        <v>-205.5</v>
      </c>
      <c r="AG63" s="259">
        <v>-362</v>
      </c>
      <c r="AH63" s="663">
        <v>-465.4</v>
      </c>
      <c r="AI63" s="259">
        <v>-107.1</v>
      </c>
      <c r="AJ63" s="259">
        <v>-205.5</v>
      </c>
      <c r="AK63" s="259">
        <v>-362</v>
      </c>
      <c r="AL63" s="259">
        <v>-465.4</v>
      </c>
      <c r="AM63" s="662">
        <v>-84.6</v>
      </c>
      <c r="AN63" s="259">
        <f>-193.4</f>
        <v>-193.4</v>
      </c>
      <c r="AO63" s="259">
        <v>-256.2</v>
      </c>
      <c r="AP63" s="663">
        <v>-315.3</v>
      </c>
      <c r="AQ63" s="259">
        <v>-54.8</v>
      </c>
      <c r="AR63" s="259">
        <v>-111.3</v>
      </c>
      <c r="AS63" s="259">
        <v>-163.9</v>
      </c>
      <c r="AT63" s="663">
        <v>-213.3</v>
      </c>
      <c r="AU63" s="259">
        <v>-79.8</v>
      </c>
      <c r="AV63" s="259">
        <v>-217.6</v>
      </c>
      <c r="AW63" s="259">
        <v>-390.9</v>
      </c>
      <c r="AX63" s="663">
        <v>-616.9</v>
      </c>
      <c r="AY63" s="259">
        <v>-219.4</v>
      </c>
      <c r="AZ63" s="259">
        <v>-501.3</v>
      </c>
      <c r="BA63" s="259">
        <v>-942.3</v>
      </c>
      <c r="BB63" s="663">
        <v>-1203.3</v>
      </c>
      <c r="BC63" s="259">
        <v>-398.7</v>
      </c>
      <c r="BD63" s="259">
        <v>-607.29999999999995</v>
      </c>
      <c r="BE63" s="259"/>
      <c r="BF63" s="663"/>
      <c r="BG63" s="934"/>
      <c r="BH63" s="540"/>
      <c r="BI63" s="68"/>
    </row>
    <row r="64" spans="1:62" ht="20.149999999999999" customHeight="1">
      <c r="A64" s="70" t="s">
        <v>400</v>
      </c>
      <c r="B64" s="672" t="s">
        <v>401</v>
      </c>
      <c r="C64" s="68"/>
      <c r="D64" s="68"/>
      <c r="E64" s="68"/>
      <c r="F64" s="68"/>
      <c r="G64" s="655"/>
      <c r="H64" s="68"/>
      <c r="I64" s="68"/>
      <c r="J64" s="656"/>
      <c r="K64" s="68"/>
      <c r="L64" s="68"/>
      <c r="M64" s="68"/>
      <c r="N64" s="68"/>
      <c r="O64" s="655"/>
      <c r="P64" s="68"/>
      <c r="Q64" s="68"/>
      <c r="R64" s="656"/>
      <c r="S64" s="68"/>
      <c r="T64" s="68"/>
      <c r="U64" s="68"/>
      <c r="V64" s="68"/>
      <c r="W64" s="655"/>
      <c r="X64" s="68"/>
      <c r="Y64" s="68"/>
      <c r="Z64" s="656"/>
      <c r="AA64" s="68"/>
      <c r="AB64" s="68"/>
      <c r="AC64" s="68"/>
      <c r="AD64" s="68"/>
      <c r="AE64" s="655">
        <v>-0.2</v>
      </c>
      <c r="AF64" s="68">
        <v>-0.4</v>
      </c>
      <c r="AG64" s="68">
        <v>-0.6</v>
      </c>
      <c r="AH64" s="656">
        <v>-0.8</v>
      </c>
      <c r="AI64" s="68">
        <v>-7.8</v>
      </c>
      <c r="AJ64" s="68">
        <v>-18.8</v>
      </c>
      <c r="AK64" s="68">
        <v>-28.6</v>
      </c>
      <c r="AL64" s="68">
        <v>-47.6</v>
      </c>
      <c r="AM64" s="655">
        <v>-12.4</v>
      </c>
      <c r="AN64" s="68">
        <v>-21.1</v>
      </c>
      <c r="AO64" s="68">
        <v>-35.1</v>
      </c>
      <c r="AP64" s="656">
        <v>-46</v>
      </c>
      <c r="AQ64" s="68">
        <v>-11.4</v>
      </c>
      <c r="AR64" s="68">
        <v>-21</v>
      </c>
      <c r="AS64" s="68">
        <v>-27.6</v>
      </c>
      <c r="AT64" s="656">
        <v>-32.4</v>
      </c>
      <c r="AU64" s="68">
        <v>-5.4</v>
      </c>
      <c r="AV64" s="68">
        <v>-10.3</v>
      </c>
      <c r="AW64" s="68">
        <v>-15.1</v>
      </c>
      <c r="AX64" s="656">
        <v>-20.2</v>
      </c>
      <c r="AY64" s="68">
        <v>-6.3</v>
      </c>
      <c r="AZ64" s="68">
        <v>-12.9</v>
      </c>
      <c r="BA64" s="259">
        <v>-19.600000000000001</v>
      </c>
      <c r="BB64" s="663">
        <v>-27.4</v>
      </c>
      <c r="BC64" s="68">
        <v>-8.6999999999999993</v>
      </c>
      <c r="BD64" s="68">
        <v>-18.100000000000001</v>
      </c>
      <c r="BE64" s="259"/>
      <c r="BF64" s="663"/>
      <c r="BG64" s="934"/>
      <c r="BH64" s="540"/>
    </row>
    <row r="65" spans="1:61" ht="20.149999999999999" customHeight="1">
      <c r="A65" s="70" t="s">
        <v>402</v>
      </c>
      <c r="B65" s="672" t="s">
        <v>403</v>
      </c>
      <c r="C65" s="68"/>
      <c r="D65" s="68"/>
      <c r="E65" s="68"/>
      <c r="F65" s="68"/>
      <c r="G65" s="655"/>
      <c r="H65" s="68"/>
      <c r="I65" s="68"/>
      <c r="J65" s="656"/>
      <c r="K65" s="68"/>
      <c r="L65" s="68"/>
      <c r="M65" s="68"/>
      <c r="N65" s="68"/>
      <c r="O65" s="655"/>
      <c r="P65" s="68"/>
      <c r="Q65" s="68"/>
      <c r="R65" s="656"/>
      <c r="S65" s="68"/>
      <c r="T65" s="68"/>
      <c r="U65" s="68"/>
      <c r="V65" s="68"/>
      <c r="W65" s="655"/>
      <c r="X65" s="68"/>
      <c r="Y65" s="68"/>
      <c r="Z65" s="656"/>
      <c r="AA65" s="68"/>
      <c r="AB65" s="68"/>
      <c r="AC65" s="68"/>
      <c r="AD65" s="68"/>
      <c r="AE65" s="655">
        <v>-3.1</v>
      </c>
      <c r="AF65" s="68">
        <v>-6.1</v>
      </c>
      <c r="AG65" s="68">
        <v>-8.9</v>
      </c>
      <c r="AH65" s="656">
        <v>-4.4000000000000004</v>
      </c>
      <c r="AI65" s="68">
        <v>-54.5</v>
      </c>
      <c r="AJ65" s="68">
        <v>-142.69999999999999</v>
      </c>
      <c r="AK65" s="68">
        <v>-234</v>
      </c>
      <c r="AL65" s="68">
        <v>-343.7</v>
      </c>
      <c r="AM65" s="655">
        <v>-106.3</v>
      </c>
      <c r="AN65" s="68">
        <v>-185.7</v>
      </c>
      <c r="AO65" s="68">
        <v>-304.39999999999998</v>
      </c>
      <c r="AP65" s="656">
        <v>-399.2</v>
      </c>
      <c r="AQ65" s="68">
        <v>-119</v>
      </c>
      <c r="AR65" s="68">
        <v>-222</v>
      </c>
      <c r="AS65" s="68">
        <v>-280.89999999999998</v>
      </c>
      <c r="AT65" s="656">
        <v>-335.4</v>
      </c>
      <c r="AU65" s="68">
        <v>-52.9</v>
      </c>
      <c r="AV65" s="68">
        <v>-100.7</v>
      </c>
      <c r="AW65" s="68">
        <v>-151</v>
      </c>
      <c r="AX65" s="656">
        <v>-196.4</v>
      </c>
      <c r="AY65" s="68">
        <v>-57.6</v>
      </c>
      <c r="AZ65" s="68">
        <v>-104.7</v>
      </c>
      <c r="BA65" s="259">
        <v>-150.19999999999999</v>
      </c>
      <c r="BB65" s="663">
        <v>-195.5</v>
      </c>
      <c r="BC65" s="68">
        <v>-61.8</v>
      </c>
      <c r="BD65" s="68">
        <v>-112.8</v>
      </c>
      <c r="BE65" s="259"/>
      <c r="BF65" s="663"/>
      <c r="BG65" s="932"/>
      <c r="BH65" s="933"/>
    </row>
    <row r="66" spans="1:61" ht="20.149999999999999" customHeight="1">
      <c r="A66" s="70" t="s">
        <v>404</v>
      </c>
      <c r="B66" s="672" t="s">
        <v>405</v>
      </c>
      <c r="C66" s="69">
        <v>0</v>
      </c>
      <c r="D66" s="69">
        <v>0</v>
      </c>
      <c r="E66" s="69">
        <v>0</v>
      </c>
      <c r="F66" s="69">
        <v>0</v>
      </c>
      <c r="G66" s="676">
        <v>0</v>
      </c>
      <c r="H66" s="69">
        <v>0</v>
      </c>
      <c r="I66" s="69">
        <v>0</v>
      </c>
      <c r="J66" s="677">
        <v>0</v>
      </c>
      <c r="K66" s="69">
        <v>0</v>
      </c>
      <c r="L66" s="68">
        <v>-102.9</v>
      </c>
      <c r="M66" s="68">
        <v>-102.9</v>
      </c>
      <c r="N66" s="68">
        <v>-102.9</v>
      </c>
      <c r="O66" s="655">
        <v>0</v>
      </c>
      <c r="P66" s="68">
        <v>0</v>
      </c>
      <c r="Q66" s="68">
        <v>0</v>
      </c>
      <c r="R66" s="656">
        <v>0</v>
      </c>
      <c r="S66" s="68">
        <v>0</v>
      </c>
      <c r="T66" s="68">
        <v>0</v>
      </c>
      <c r="U66" s="68">
        <v>0</v>
      </c>
      <c r="V66" s="68">
        <v>0</v>
      </c>
      <c r="W66" s="655">
        <v>0</v>
      </c>
      <c r="X66" s="68">
        <v>0</v>
      </c>
      <c r="Y66" s="68">
        <v>-204.7</v>
      </c>
      <c r="Z66" s="656">
        <v>-204.7</v>
      </c>
      <c r="AA66" s="68">
        <v>0</v>
      </c>
      <c r="AB66" s="68">
        <v>0</v>
      </c>
      <c r="AC66" s="68">
        <v>0</v>
      </c>
      <c r="AD66" s="68">
        <v>0</v>
      </c>
      <c r="AE66" s="655">
        <v>0</v>
      </c>
      <c r="AF66" s="68">
        <v>0</v>
      </c>
      <c r="AG66" s="68">
        <v>-287.8</v>
      </c>
      <c r="AH66" s="656">
        <v>-594.79999999999995</v>
      </c>
      <c r="AI66" s="68">
        <v>0</v>
      </c>
      <c r="AJ66" s="68">
        <v>0</v>
      </c>
      <c r="AK66" s="68">
        <v>-287.8</v>
      </c>
      <c r="AL66" s="68">
        <v>-594.79999999999995</v>
      </c>
      <c r="AM66" s="655">
        <v>0</v>
      </c>
      <c r="AN66" s="68">
        <v>-7.4</v>
      </c>
      <c r="AO66" s="68">
        <v>-7.4</v>
      </c>
      <c r="AP66" s="656">
        <v>-232.5</v>
      </c>
      <c r="AQ66" s="68">
        <v>-415.7</v>
      </c>
      <c r="AR66" s="68">
        <v>-415.7</v>
      </c>
      <c r="AS66" s="68">
        <v>-674.5</v>
      </c>
      <c r="AT66" s="656">
        <v>-1186.2</v>
      </c>
      <c r="AU66" s="68">
        <v>0</v>
      </c>
      <c r="AV66" s="68">
        <v>0</v>
      </c>
      <c r="AW66" s="68">
        <v>0</v>
      </c>
      <c r="AX66" s="656">
        <v>-660.8</v>
      </c>
      <c r="AY66" s="68">
        <v>0</v>
      </c>
      <c r="AZ66" s="68">
        <v>0</v>
      </c>
      <c r="BA66" s="68">
        <v>0</v>
      </c>
      <c r="BB66" s="656">
        <v>0</v>
      </c>
      <c r="BC66" s="68">
        <v>0</v>
      </c>
      <c r="BD66" s="68">
        <v>0</v>
      </c>
      <c r="BE66" s="68"/>
      <c r="BF66" s="656"/>
    </row>
    <row r="67" spans="1:61" ht="20.149999999999999" customHeight="1">
      <c r="A67" s="70" t="s">
        <v>406</v>
      </c>
      <c r="B67" s="672" t="s">
        <v>407</v>
      </c>
      <c r="C67" s="69"/>
      <c r="D67" s="69"/>
      <c r="E67" s="69"/>
      <c r="F67" s="69"/>
      <c r="G67" s="676"/>
      <c r="H67" s="69"/>
      <c r="I67" s="69"/>
      <c r="J67" s="677"/>
      <c r="K67" s="69"/>
      <c r="L67" s="68"/>
      <c r="M67" s="68"/>
      <c r="N67" s="68"/>
      <c r="O67" s="655"/>
      <c r="P67" s="68"/>
      <c r="Q67" s="68"/>
      <c r="R67" s="656"/>
      <c r="S67" s="68"/>
      <c r="T67" s="68"/>
      <c r="U67" s="68"/>
      <c r="V67" s="68"/>
      <c r="W67" s="655"/>
      <c r="X67" s="68"/>
      <c r="Y67" s="68"/>
      <c r="Z67" s="656"/>
      <c r="AA67" s="68"/>
      <c r="AB67" s="68"/>
      <c r="AC67" s="68"/>
      <c r="AD67" s="68"/>
      <c r="AE67" s="655"/>
      <c r="AF67" s="68"/>
      <c r="AG67" s="68"/>
      <c r="AH67" s="656"/>
      <c r="AI67" s="68"/>
      <c r="AJ67" s="68"/>
      <c r="AK67" s="68"/>
      <c r="AL67" s="68"/>
      <c r="AM67" s="655"/>
      <c r="AN67" s="68"/>
      <c r="AO67" s="68"/>
      <c r="AP67" s="656"/>
      <c r="AQ67" s="68"/>
      <c r="AR67" s="68"/>
      <c r="AS67" s="68"/>
      <c r="AT67" s="656">
        <v>-2464</v>
      </c>
      <c r="AU67" s="68">
        <v>0</v>
      </c>
      <c r="AV67" s="68">
        <v>-393.9</v>
      </c>
      <c r="AW67" s="68">
        <v>-393.9</v>
      </c>
      <c r="AX67" s="656">
        <v>-393.9</v>
      </c>
      <c r="AY67" s="68">
        <v>0</v>
      </c>
      <c r="AZ67" s="68">
        <v>0</v>
      </c>
      <c r="BA67" s="68">
        <v>0</v>
      </c>
      <c r="BB67" s="656">
        <v>0</v>
      </c>
      <c r="BC67" s="68">
        <v>0</v>
      </c>
      <c r="BD67" s="68">
        <v>0</v>
      </c>
      <c r="BE67" s="68"/>
      <c r="BF67" s="656"/>
    </row>
    <row r="68" spans="1:61" ht="20.149999999999999" customHeight="1">
      <c r="A68" s="70" t="s">
        <v>408</v>
      </c>
      <c r="B68" s="672" t="s">
        <v>409</v>
      </c>
      <c r="C68" s="69"/>
      <c r="D68" s="69"/>
      <c r="E68" s="69"/>
      <c r="F68" s="69"/>
      <c r="G68" s="676"/>
      <c r="H68" s="69"/>
      <c r="I68" s="69"/>
      <c r="J68" s="677"/>
      <c r="K68" s="69"/>
      <c r="L68" s="68"/>
      <c r="M68" s="68"/>
      <c r="N68" s="68"/>
      <c r="O68" s="655"/>
      <c r="P68" s="68"/>
      <c r="Q68" s="68"/>
      <c r="R68" s="656"/>
      <c r="S68" s="68"/>
      <c r="T68" s="68">
        <v>-323.60000000000002</v>
      </c>
      <c r="U68" s="68">
        <v>-323.60000000000002</v>
      </c>
      <c r="V68" s="68">
        <v>-323.60000000000002</v>
      </c>
      <c r="W68" s="655">
        <v>0</v>
      </c>
      <c r="X68" s="68">
        <v>0</v>
      </c>
      <c r="Y68" s="68">
        <v>0</v>
      </c>
      <c r="Z68" s="656">
        <v>0</v>
      </c>
      <c r="AA68" s="68">
        <v>0</v>
      </c>
      <c r="AB68" s="68">
        <v>0</v>
      </c>
      <c r="AC68" s="68">
        <v>0</v>
      </c>
      <c r="AD68" s="68">
        <v>0</v>
      </c>
      <c r="AE68" s="655">
        <v>0</v>
      </c>
      <c r="AF68" s="68">
        <v>0</v>
      </c>
      <c r="AG68" s="68">
        <v>0</v>
      </c>
      <c r="AH68" s="656">
        <v>0</v>
      </c>
      <c r="AI68" s="68">
        <v>0</v>
      </c>
      <c r="AJ68" s="68">
        <v>0</v>
      </c>
      <c r="AK68" s="68">
        <v>0</v>
      </c>
      <c r="AL68" s="68">
        <v>0</v>
      </c>
      <c r="AM68" s="655">
        <v>0</v>
      </c>
      <c r="AN68" s="68">
        <v>0</v>
      </c>
      <c r="AO68" s="68">
        <v>0</v>
      </c>
      <c r="AP68" s="656">
        <v>0</v>
      </c>
      <c r="AQ68" s="68">
        <v>0</v>
      </c>
      <c r="AR68" s="68">
        <v>0</v>
      </c>
      <c r="AS68" s="68">
        <v>0</v>
      </c>
      <c r="AT68" s="656">
        <v>0</v>
      </c>
      <c r="AU68" s="68">
        <v>0</v>
      </c>
      <c r="AV68" s="68">
        <v>0</v>
      </c>
      <c r="AW68" s="68">
        <v>0</v>
      </c>
      <c r="AX68" s="656">
        <v>0</v>
      </c>
      <c r="AY68" s="68">
        <v>0</v>
      </c>
      <c r="AZ68" s="68">
        <v>0</v>
      </c>
      <c r="BA68" s="68">
        <v>0</v>
      </c>
      <c r="BB68" s="656">
        <v>0</v>
      </c>
      <c r="BC68" s="68">
        <v>0</v>
      </c>
      <c r="BD68" s="68">
        <v>0</v>
      </c>
      <c r="BE68" s="68"/>
      <c r="BF68" s="656"/>
    </row>
    <row r="69" spans="1:61" ht="20.149999999999999" customHeight="1">
      <c r="A69" s="70" t="s">
        <v>410</v>
      </c>
      <c r="B69" s="672" t="s">
        <v>411</v>
      </c>
      <c r="C69" s="68">
        <v>-8.4000000000000005E-2</v>
      </c>
      <c r="D69" s="68">
        <v>-0.23899999999999999</v>
      </c>
      <c r="E69" s="68">
        <v>-0.315</v>
      </c>
      <c r="F69" s="68">
        <v>-0.40600000000000003</v>
      </c>
      <c r="G69" s="655">
        <v>-7.8E-2</v>
      </c>
      <c r="H69" s="68">
        <v>-0.16800000000000001</v>
      </c>
      <c r="I69" s="68">
        <v>-0.25600000000000001</v>
      </c>
      <c r="J69" s="656">
        <v>-0.33</v>
      </c>
      <c r="K69" s="68">
        <v>-6.2E-2</v>
      </c>
      <c r="L69" s="68">
        <v>-0.3</v>
      </c>
      <c r="M69" s="68">
        <v>-0.7</v>
      </c>
      <c r="N69" s="68">
        <v>-0.9</v>
      </c>
      <c r="O69" s="655">
        <v>-2.5</v>
      </c>
      <c r="P69" s="68">
        <v>-3.5</v>
      </c>
      <c r="Q69" s="68">
        <v>-4.5</v>
      </c>
      <c r="R69" s="656">
        <v>-5.6</v>
      </c>
      <c r="S69" s="68">
        <v>-2.1</v>
      </c>
      <c r="T69" s="68">
        <v>-2.7</v>
      </c>
      <c r="U69" s="68">
        <v>-4.4000000000000004</v>
      </c>
      <c r="V69" s="68">
        <v>-6</v>
      </c>
      <c r="W69" s="655">
        <f>-0.3-1.4</f>
        <v>-1.7</v>
      </c>
      <c r="X69" s="68">
        <v>-2.9</v>
      </c>
      <c r="Y69" s="68">
        <v>-4.3</v>
      </c>
      <c r="Z69" s="656">
        <v>-5.2</v>
      </c>
      <c r="AA69" s="68">
        <v>-1.6</v>
      </c>
      <c r="AB69" s="68">
        <v>-3.4</v>
      </c>
      <c r="AC69" s="68">
        <v>-4.8</v>
      </c>
      <c r="AD69" s="68">
        <v>-8.4</v>
      </c>
      <c r="AE69" s="655">
        <v>-0.6</v>
      </c>
      <c r="AF69" s="68">
        <v>-0.4</v>
      </c>
      <c r="AG69" s="68">
        <v>-0.6</v>
      </c>
      <c r="AH69" s="656">
        <v>-0.7</v>
      </c>
      <c r="AI69" s="68">
        <v>-0.6</v>
      </c>
      <c r="AJ69" s="68">
        <v>-0.4</v>
      </c>
      <c r="AK69" s="68">
        <v>-0.6</v>
      </c>
      <c r="AL69" s="68">
        <v>-0.7</v>
      </c>
      <c r="AM69" s="655">
        <v>-4.5</v>
      </c>
      <c r="AN69" s="68">
        <v>-12.7</v>
      </c>
      <c r="AO69" s="68">
        <v>-27.3</v>
      </c>
      <c r="AP69" s="656">
        <v>-40.1</v>
      </c>
      <c r="AQ69" s="68">
        <v>-11.1</v>
      </c>
      <c r="AR69" s="68">
        <v>-19.3</v>
      </c>
      <c r="AS69" s="68">
        <v>-27.2</v>
      </c>
      <c r="AT69" s="656">
        <v>-33.799999999999997</v>
      </c>
      <c r="AU69" s="68">
        <v>-1.5</v>
      </c>
      <c r="AV69" s="68">
        <v>-12.2</v>
      </c>
      <c r="AW69" s="68">
        <v>-16.5</v>
      </c>
      <c r="AX69" s="656">
        <v>-23</v>
      </c>
      <c r="AY69" s="68">
        <v>9.8000000000000007</v>
      </c>
      <c r="AZ69" s="68">
        <v>2.8</v>
      </c>
      <c r="BA69" s="259">
        <v>-1.5</v>
      </c>
      <c r="BB69" s="663">
        <v>-1.8</v>
      </c>
      <c r="BC69" s="68">
        <v>-3.6</v>
      </c>
      <c r="BD69" s="68">
        <v>-6.8</v>
      </c>
      <c r="BE69" s="259"/>
      <c r="BF69" s="663"/>
    </row>
    <row r="70" spans="1:61" ht="22.5" customHeight="1">
      <c r="A70" s="70" t="s">
        <v>412</v>
      </c>
      <c r="B70" s="672" t="s">
        <v>413</v>
      </c>
      <c r="C70" s="68"/>
      <c r="D70" s="68"/>
      <c r="E70" s="68"/>
      <c r="F70" s="68"/>
      <c r="G70" s="655"/>
      <c r="H70" s="68"/>
      <c r="I70" s="68"/>
      <c r="J70" s="656"/>
      <c r="K70" s="68"/>
      <c r="L70" s="68"/>
      <c r="M70" s="68"/>
      <c r="N70" s="68"/>
      <c r="O70" s="655"/>
      <c r="P70" s="68"/>
      <c r="Q70" s="68"/>
      <c r="R70" s="656"/>
      <c r="S70" s="68"/>
      <c r="T70" s="68"/>
      <c r="U70" s="68"/>
      <c r="V70" s="68"/>
      <c r="W70" s="655"/>
      <c r="X70" s="68"/>
      <c r="Y70" s="68"/>
      <c r="Z70" s="656"/>
      <c r="AA70" s="68"/>
      <c r="AB70" s="68"/>
      <c r="AC70" s="68"/>
      <c r="AD70" s="68"/>
      <c r="AE70" s="655"/>
      <c r="AF70" s="68"/>
      <c r="AG70" s="68"/>
      <c r="AH70" s="656"/>
      <c r="AI70" s="68"/>
      <c r="AJ70" s="68"/>
      <c r="AK70" s="68"/>
      <c r="AL70" s="68"/>
      <c r="AM70" s="655"/>
      <c r="AN70" s="68"/>
      <c r="AO70" s="68"/>
      <c r="AP70" s="656"/>
      <c r="AQ70" s="68"/>
      <c r="AR70" s="68"/>
      <c r="AS70" s="68"/>
      <c r="AT70" s="656"/>
      <c r="AU70" s="68">
        <v>7.4</v>
      </c>
      <c r="AV70" s="68">
        <v>31.9</v>
      </c>
      <c r="AW70" s="68">
        <v>75.7</v>
      </c>
      <c r="AX70" s="656">
        <v>109.4</v>
      </c>
      <c r="AY70" s="68">
        <v>32.799999999999997</v>
      </c>
      <c r="AZ70" s="68">
        <v>48.4</v>
      </c>
      <c r="BA70" s="259">
        <v>56.5</v>
      </c>
      <c r="BB70" s="663">
        <v>60.8</v>
      </c>
      <c r="BC70" s="68">
        <v>4.5999999999999996</v>
      </c>
      <c r="BD70" s="68">
        <v>8.1999999999999993</v>
      </c>
      <c r="BE70" s="259"/>
      <c r="BF70" s="663"/>
    </row>
    <row r="71" spans="1:61" ht="20.149999999999999" customHeight="1">
      <c r="A71" s="70" t="s">
        <v>414</v>
      </c>
      <c r="B71" s="672" t="s">
        <v>415</v>
      </c>
      <c r="C71" s="676">
        <v>0</v>
      </c>
      <c r="D71" s="69">
        <v>0</v>
      </c>
      <c r="E71" s="69">
        <v>0</v>
      </c>
      <c r="F71" s="677">
        <v>0</v>
      </c>
      <c r="G71" s="676">
        <v>0</v>
      </c>
      <c r="H71" s="69">
        <v>0</v>
      </c>
      <c r="I71" s="69">
        <v>0</v>
      </c>
      <c r="J71" s="677">
        <v>0</v>
      </c>
      <c r="K71" s="69">
        <v>0</v>
      </c>
      <c r="L71" s="68">
        <v>-3.8</v>
      </c>
      <c r="M71" s="68">
        <v>-3.9</v>
      </c>
      <c r="N71" s="68">
        <v>-3.9</v>
      </c>
      <c r="O71" s="655">
        <v>0</v>
      </c>
      <c r="P71" s="68">
        <v>0</v>
      </c>
      <c r="Q71" s="68">
        <v>0</v>
      </c>
      <c r="R71" s="656">
        <v>0</v>
      </c>
      <c r="S71" s="68">
        <v>0</v>
      </c>
      <c r="T71" s="68">
        <v>0</v>
      </c>
      <c r="U71" s="68">
        <v>0</v>
      </c>
      <c r="V71" s="68">
        <v>0</v>
      </c>
      <c r="W71" s="655">
        <v>0</v>
      </c>
      <c r="X71" s="68">
        <v>0</v>
      </c>
      <c r="Y71" s="68">
        <v>0</v>
      </c>
      <c r="Z71" s="656">
        <v>0</v>
      </c>
      <c r="AA71" s="68">
        <v>0</v>
      </c>
      <c r="AB71" s="68"/>
      <c r="AC71" s="68">
        <v>0</v>
      </c>
      <c r="AD71" s="68">
        <v>0</v>
      </c>
      <c r="AE71" s="655">
        <v>0</v>
      </c>
      <c r="AF71" s="68">
        <v>0</v>
      </c>
      <c r="AG71" s="68">
        <v>0</v>
      </c>
      <c r="AH71" s="656">
        <v>0</v>
      </c>
      <c r="AI71" s="68">
        <v>0</v>
      </c>
      <c r="AJ71" s="68">
        <v>0</v>
      </c>
      <c r="AK71" s="68">
        <v>0</v>
      </c>
      <c r="AL71" s="68">
        <v>0</v>
      </c>
      <c r="AM71" s="655">
        <v>0</v>
      </c>
      <c r="AN71" s="68">
        <v>0</v>
      </c>
      <c r="AO71" s="68">
        <v>0</v>
      </c>
      <c r="AP71" s="656">
        <v>0</v>
      </c>
      <c r="AQ71" s="68">
        <v>0</v>
      </c>
      <c r="AR71" s="68">
        <v>0</v>
      </c>
      <c r="AS71" s="68">
        <v>0</v>
      </c>
      <c r="AT71" s="656"/>
      <c r="AU71" s="68">
        <v>0</v>
      </c>
      <c r="AV71" s="68">
        <v>0</v>
      </c>
      <c r="AW71" s="68">
        <v>0</v>
      </c>
      <c r="AX71" s="656">
        <v>0</v>
      </c>
      <c r="AY71" s="68">
        <v>0</v>
      </c>
      <c r="AZ71" s="68">
        <v>0</v>
      </c>
      <c r="BA71" s="68">
        <v>0</v>
      </c>
      <c r="BB71" s="656">
        <v>0</v>
      </c>
      <c r="BC71" s="68">
        <v>0</v>
      </c>
      <c r="BD71" s="68">
        <v>0</v>
      </c>
      <c r="BE71" s="68"/>
      <c r="BF71" s="656"/>
      <c r="BH71" s="264"/>
      <c r="BI71" s="264"/>
    </row>
    <row r="72" spans="1:61" s="264" customFormat="1" ht="25.25" customHeight="1" thickBot="1">
      <c r="A72" s="384" t="s">
        <v>416</v>
      </c>
      <c r="B72" s="674" t="s">
        <v>417</v>
      </c>
      <c r="C72" s="660">
        <f t="shared" ref="C72:X72" si="19">SUM(C58:C71)</f>
        <v>-52.972000000000001</v>
      </c>
      <c r="D72" s="385">
        <f t="shared" si="19"/>
        <v>-260.08099999999996</v>
      </c>
      <c r="E72" s="385">
        <f t="shared" si="19"/>
        <v>-525.96400000000006</v>
      </c>
      <c r="F72" s="661">
        <f t="shared" si="19"/>
        <v>-653.34699999999998</v>
      </c>
      <c r="G72" s="660">
        <f t="shared" si="19"/>
        <v>-66.737000000000009</v>
      </c>
      <c r="H72" s="385">
        <f t="shared" si="19"/>
        <v>-278.43799999999999</v>
      </c>
      <c r="I72" s="385">
        <f t="shared" si="19"/>
        <v>-464.322</v>
      </c>
      <c r="J72" s="661">
        <f t="shared" si="19"/>
        <v>-596.46400000000006</v>
      </c>
      <c r="K72" s="385">
        <f t="shared" si="19"/>
        <v>-46.550999999999995</v>
      </c>
      <c r="L72" s="385">
        <f t="shared" si="19"/>
        <v>-478.30000000000007</v>
      </c>
      <c r="M72" s="385">
        <f t="shared" si="19"/>
        <v>-1064.0000000000002</v>
      </c>
      <c r="N72" s="385">
        <f t="shared" si="19"/>
        <v>-1542.9000000000003</v>
      </c>
      <c r="O72" s="660">
        <f t="shared" si="19"/>
        <v>-467.4</v>
      </c>
      <c r="P72" s="385">
        <f t="shared" si="19"/>
        <v>-1310</v>
      </c>
      <c r="Q72" s="385">
        <f t="shared" si="19"/>
        <v>-2210.8000000000006</v>
      </c>
      <c r="R72" s="661">
        <f t="shared" si="19"/>
        <v>-2386.7000000000007</v>
      </c>
      <c r="S72" s="385">
        <f t="shared" si="19"/>
        <v>-371.90000000000055</v>
      </c>
      <c r="T72" s="385">
        <f t="shared" si="19"/>
        <v>-1403.6000000000001</v>
      </c>
      <c r="U72" s="385">
        <f t="shared" si="19"/>
        <v>-1737.1000000000004</v>
      </c>
      <c r="V72" s="385">
        <f t="shared" si="19"/>
        <v>-2070.8000000000002</v>
      </c>
      <c r="W72" s="660">
        <f t="shared" si="19"/>
        <v>-348.2</v>
      </c>
      <c r="X72" s="385">
        <f t="shared" si="19"/>
        <v>-1122.3000000000002</v>
      </c>
      <c r="Y72" s="385">
        <f>SUM(Y58:Y71)</f>
        <v>-1676</v>
      </c>
      <c r="Z72" s="661">
        <f>SUM(Z58:Z71)</f>
        <v>-1527.7000000000003</v>
      </c>
      <c r="AA72" s="385">
        <f t="shared" ref="AA72:AD72" si="20">SUM(AA58:AA71)</f>
        <v>-689.6</v>
      </c>
      <c r="AB72" s="385">
        <f t="shared" si="20"/>
        <v>-868.19999999999993</v>
      </c>
      <c r="AC72" s="385">
        <f t="shared" ref="AC72" si="21">SUM(AC58:AC71)</f>
        <v>-790.09999999999991</v>
      </c>
      <c r="AD72" s="385">
        <f t="shared" si="20"/>
        <v>-1074.3000000000002</v>
      </c>
      <c r="AE72" s="660">
        <f t="shared" ref="AE72:AH72" si="22">SUM(AE58:AE71)</f>
        <v>-695.40000000000009</v>
      </c>
      <c r="AF72" s="385">
        <f t="shared" si="22"/>
        <v>-1064</v>
      </c>
      <c r="AG72" s="385">
        <f>SUM(AG58:AG71)</f>
        <v>-1285.8999999999999</v>
      </c>
      <c r="AH72" s="661">
        <f t="shared" si="22"/>
        <v>-798.6</v>
      </c>
      <c r="AI72" s="385">
        <f t="shared" ref="AI72:AJ72" si="23">SUM(AI58:AI71)</f>
        <v>-754.4</v>
      </c>
      <c r="AJ72" s="385">
        <f t="shared" si="23"/>
        <v>-1219</v>
      </c>
      <c r="AK72" s="385">
        <f>SUM(AK58:AK71)</f>
        <v>-1538.9999999999998</v>
      </c>
      <c r="AL72" s="385">
        <f t="shared" ref="AL72" si="24">SUM(AL58:AL71)</f>
        <v>-1184.7</v>
      </c>
      <c r="AM72" s="660">
        <f t="shared" ref="AM72:AN72" si="25">SUM(AM58:AM71)</f>
        <v>-30.000000000000043</v>
      </c>
      <c r="AN72" s="385">
        <f t="shared" si="25"/>
        <v>-243.19999999999996</v>
      </c>
      <c r="AO72" s="385">
        <v>-453.3</v>
      </c>
      <c r="AP72" s="661">
        <f t="shared" ref="AP72:AR72" si="26">SUM(AP58:AP71)</f>
        <v>-856</v>
      </c>
      <c r="AQ72" s="385">
        <f t="shared" si="26"/>
        <v>-612</v>
      </c>
      <c r="AR72" s="385">
        <f t="shared" si="26"/>
        <v>-879.3</v>
      </c>
      <c r="AS72" s="385">
        <f t="shared" ref="AS72" si="27">SUM(AS58:AS71)</f>
        <v>-981.50000000000011</v>
      </c>
      <c r="AT72" s="661">
        <f t="shared" ref="AT72:AW72" si="28">SUM(AT58:AT71)</f>
        <v>-5282.9000000000005</v>
      </c>
      <c r="AU72" s="385">
        <f t="shared" si="28"/>
        <v>-332.2</v>
      </c>
      <c r="AV72" s="385">
        <f t="shared" si="28"/>
        <v>-1340.8</v>
      </c>
      <c r="AW72" s="385">
        <f t="shared" si="28"/>
        <v>-1729.7</v>
      </c>
      <c r="AX72" s="661">
        <f t="shared" ref="AX72:BD72" si="29">SUM(AX58:AX71)</f>
        <v>-2705.7</v>
      </c>
      <c r="AY72" s="385">
        <f t="shared" si="29"/>
        <v>1567.3</v>
      </c>
      <c r="AZ72" s="385">
        <f t="shared" si="29"/>
        <v>2915.5</v>
      </c>
      <c r="BA72" s="385">
        <f t="shared" si="29"/>
        <v>3091.0000000000005</v>
      </c>
      <c r="BB72" s="661">
        <f t="shared" ref="BB72" si="30">SUM(BB58:BB71)</f>
        <v>2336.2000000000003</v>
      </c>
      <c r="BC72" s="385">
        <f t="shared" si="29"/>
        <v>-762.8</v>
      </c>
      <c r="BD72" s="385">
        <f t="shared" si="29"/>
        <v>-987.29999999999984</v>
      </c>
      <c r="BE72" s="385"/>
      <c r="BF72" s="661"/>
      <c r="BG72" s="937"/>
    </row>
    <row r="73" spans="1:61" ht="20.149999999999999" customHeight="1" thickBot="1">
      <c r="A73" s="386" t="s">
        <v>418</v>
      </c>
      <c r="B73" s="671" t="s">
        <v>419</v>
      </c>
      <c r="C73" s="387">
        <f>C39+C57+C72</f>
        <v>146.86399999999998</v>
      </c>
      <c r="D73" s="387">
        <f t="shared" ref="D73:AN73" si="31">D72+D57+D39</f>
        <v>33.256000000000029</v>
      </c>
      <c r="E73" s="387">
        <f t="shared" si="31"/>
        <v>-51.083999999999946</v>
      </c>
      <c r="F73" s="388">
        <f t="shared" si="31"/>
        <v>-5.4109999999999445</v>
      </c>
      <c r="G73" s="653">
        <f t="shared" si="31"/>
        <v>53.822999999999979</v>
      </c>
      <c r="H73" s="388">
        <f t="shared" si="31"/>
        <v>-5.0790000000000077</v>
      </c>
      <c r="I73" s="388">
        <f t="shared" si="31"/>
        <v>-55.118000000000166</v>
      </c>
      <c r="J73" s="654">
        <f t="shared" si="31"/>
        <v>72.357999999999834</v>
      </c>
      <c r="K73" s="388">
        <f t="shared" si="31"/>
        <v>85.956000000000017</v>
      </c>
      <c r="L73" s="388">
        <f t="shared" si="31"/>
        <v>1565.3999999999999</v>
      </c>
      <c r="M73" s="388">
        <f t="shared" si="31"/>
        <v>1300.0999999999999</v>
      </c>
      <c r="N73" s="388">
        <f t="shared" si="31"/>
        <v>1403.7999999999997</v>
      </c>
      <c r="O73" s="653">
        <f t="shared" si="31"/>
        <v>-257.89999999999981</v>
      </c>
      <c r="P73" s="388">
        <f t="shared" si="31"/>
        <v>-353.30000000000041</v>
      </c>
      <c r="Q73" s="388">
        <f t="shared" si="31"/>
        <v>-677.30000000000109</v>
      </c>
      <c r="R73" s="654">
        <f t="shared" si="31"/>
        <v>-225.60000000000127</v>
      </c>
      <c r="S73" s="388">
        <f t="shared" si="31"/>
        <v>49.999999999999602</v>
      </c>
      <c r="T73" s="388">
        <f t="shared" si="31"/>
        <v>-568.70000000000005</v>
      </c>
      <c r="U73" s="388">
        <f t="shared" si="31"/>
        <v>-411.39999999999918</v>
      </c>
      <c r="V73" s="388">
        <f t="shared" si="31"/>
        <v>-189.5</v>
      </c>
      <c r="W73" s="653">
        <f t="shared" si="31"/>
        <v>244.3000000000003</v>
      </c>
      <c r="X73" s="388">
        <f t="shared" si="31"/>
        <v>29.599999999999909</v>
      </c>
      <c r="Y73" s="388">
        <f t="shared" si="31"/>
        <v>-245.50000000000045</v>
      </c>
      <c r="Z73" s="654">
        <f t="shared" si="31"/>
        <v>-159.59999999999945</v>
      </c>
      <c r="AA73" s="388">
        <f t="shared" si="31"/>
        <v>-374.99999999999989</v>
      </c>
      <c r="AB73" s="388">
        <f t="shared" si="31"/>
        <v>-285.70000000000005</v>
      </c>
      <c r="AC73" s="388">
        <f t="shared" si="31"/>
        <v>-11.199999999999818</v>
      </c>
      <c r="AD73" s="388">
        <f t="shared" si="31"/>
        <v>5.2999999999997272</v>
      </c>
      <c r="AE73" s="653">
        <f t="shared" si="31"/>
        <v>-420.69999999999993</v>
      </c>
      <c r="AF73" s="388">
        <f t="shared" si="31"/>
        <v>-392.89999999999986</v>
      </c>
      <c r="AG73" s="388">
        <f t="shared" si="31"/>
        <v>-294.79999999999927</v>
      </c>
      <c r="AH73" s="654">
        <f t="shared" si="31"/>
        <v>-426.40000000000055</v>
      </c>
      <c r="AI73" s="388">
        <f t="shared" si="31"/>
        <v>-420.69999999999993</v>
      </c>
      <c r="AJ73" s="388">
        <f t="shared" si="31"/>
        <v>-392.89999999999986</v>
      </c>
      <c r="AK73" s="388">
        <f t="shared" si="31"/>
        <v>-294.79999999999882</v>
      </c>
      <c r="AL73" s="388">
        <f t="shared" si="31"/>
        <v>-426.40000000000146</v>
      </c>
      <c r="AM73" s="653">
        <f t="shared" si="31"/>
        <v>384.78882651999987</v>
      </c>
      <c r="AN73" s="388">
        <f t="shared" si="31"/>
        <v>565.90000000000055</v>
      </c>
      <c r="AO73" s="388">
        <v>408.8</v>
      </c>
      <c r="AP73" s="654">
        <f t="shared" ref="AP73:AX73" si="32">AP72+AP57+AP39</f>
        <v>609.39999999999918</v>
      </c>
      <c r="AQ73" s="388">
        <f t="shared" si="32"/>
        <v>-97.199999999999932</v>
      </c>
      <c r="AR73" s="388">
        <f t="shared" si="32"/>
        <v>-599.79999999999995</v>
      </c>
      <c r="AS73" s="388">
        <f t="shared" si="32"/>
        <v>6107.2000000000007</v>
      </c>
      <c r="AT73" s="654">
        <f t="shared" si="32"/>
        <v>2279.2999999999979</v>
      </c>
      <c r="AU73" s="388">
        <f>AU72+AU57+AU39</f>
        <v>-288.1999999999997</v>
      </c>
      <c r="AV73" s="388">
        <f t="shared" si="32"/>
        <v>-2577.6</v>
      </c>
      <c r="AW73" s="388">
        <f t="shared" si="32"/>
        <v>-2041.9999999999998</v>
      </c>
      <c r="AX73" s="654">
        <f t="shared" si="32"/>
        <v>-2820.6000000000004</v>
      </c>
      <c r="AY73" s="388">
        <f>AY72+AY57+AY39</f>
        <v>655.80000000000064</v>
      </c>
      <c r="AZ73" s="388">
        <f t="shared" ref="AZ73:BD73" si="33">AZ72+AZ57+AZ39</f>
        <v>2673.2999999999993</v>
      </c>
      <c r="BA73" s="388">
        <f t="shared" si="33"/>
        <v>3324.6</v>
      </c>
      <c r="BB73" s="654">
        <f t="shared" si="33"/>
        <v>2512.8999999999992</v>
      </c>
      <c r="BC73" s="388">
        <f>BC72+BC57+BC39</f>
        <v>-596.79999999999995</v>
      </c>
      <c r="BD73" s="388">
        <f t="shared" si="33"/>
        <v>-243.5</v>
      </c>
      <c r="BE73" s="388"/>
      <c r="BF73" s="654"/>
      <c r="BH73" s="264"/>
      <c r="BI73" s="264"/>
    </row>
    <row r="74" spans="1:61" ht="20.149999999999999" customHeight="1">
      <c r="A74" s="262" t="s">
        <v>420</v>
      </c>
      <c r="B74" s="675" t="s">
        <v>421</v>
      </c>
      <c r="C74" s="263">
        <v>277.53399999999999</v>
      </c>
      <c r="D74" s="263">
        <v>277.53399999999999</v>
      </c>
      <c r="E74" s="263">
        <v>277.53399999999999</v>
      </c>
      <c r="F74" s="263">
        <v>277.53399999999999</v>
      </c>
      <c r="G74" s="666">
        <v>270.35399999999998</v>
      </c>
      <c r="H74" s="263">
        <v>270.35399999999998</v>
      </c>
      <c r="I74" s="263">
        <v>270.35399999999998</v>
      </c>
      <c r="J74" s="667">
        <v>270.35399999999998</v>
      </c>
      <c r="K74" s="263">
        <v>342.25100000000003</v>
      </c>
      <c r="L74" s="263">
        <v>342.2</v>
      </c>
      <c r="M74" s="263">
        <v>342.2</v>
      </c>
      <c r="N74" s="263">
        <v>342.2</v>
      </c>
      <c r="O74" s="666">
        <v>1747.9</v>
      </c>
      <c r="P74" s="263">
        <v>1747.9</v>
      </c>
      <c r="Q74" s="263">
        <v>1747.9</v>
      </c>
      <c r="R74" s="667">
        <v>1747.9</v>
      </c>
      <c r="S74" s="263">
        <f>$R$77</f>
        <v>1523.6999999999989</v>
      </c>
      <c r="T74" s="263">
        <f t="shared" ref="T74:V74" si="34">$R$77</f>
        <v>1523.6999999999989</v>
      </c>
      <c r="U74" s="263">
        <f t="shared" si="34"/>
        <v>1523.6999999999989</v>
      </c>
      <c r="V74" s="263">
        <f t="shared" si="34"/>
        <v>1523.6999999999989</v>
      </c>
      <c r="W74" s="666">
        <f>V77</f>
        <v>1336.6999999999989</v>
      </c>
      <c r="X74" s="263">
        <f>V77</f>
        <v>1336.6999999999989</v>
      </c>
      <c r="Y74" s="263">
        <f>V77</f>
        <v>1336.6999999999989</v>
      </c>
      <c r="Z74" s="667">
        <f>Y74</f>
        <v>1336.6999999999989</v>
      </c>
      <c r="AA74" s="263">
        <f>Z77</f>
        <v>1171.9999999999995</v>
      </c>
      <c r="AB74" s="263">
        <f>Z77</f>
        <v>1171.9999999999995</v>
      </c>
      <c r="AC74" s="263">
        <f>Z77</f>
        <v>1171.9999999999995</v>
      </c>
      <c r="AD74" s="263">
        <f>AC74</f>
        <v>1171.9999999999995</v>
      </c>
      <c r="AE74" s="666">
        <v>1178.7</v>
      </c>
      <c r="AF74" s="263">
        <f>AD77</f>
        <v>1178.6999999999994</v>
      </c>
      <c r="AG74" s="263">
        <f>AD77</f>
        <v>1178.6999999999994</v>
      </c>
      <c r="AH74" s="667">
        <f>AD77</f>
        <v>1178.6999999999994</v>
      </c>
      <c r="AI74" s="263">
        <v>1178.7</v>
      </c>
      <c r="AJ74" s="263">
        <f>AD77</f>
        <v>1178.6999999999994</v>
      </c>
      <c r="AK74" s="263">
        <f>AD77</f>
        <v>1178.6999999999994</v>
      </c>
      <c r="AL74" s="263">
        <f>AD77</f>
        <v>1178.6999999999994</v>
      </c>
      <c r="AM74" s="666">
        <f>AL77</f>
        <v>753.09999999999786</v>
      </c>
      <c r="AN74" s="263">
        <v>753.1</v>
      </c>
      <c r="AO74" s="263">
        <v>753.1</v>
      </c>
      <c r="AP74" s="667">
        <v>753.1</v>
      </c>
      <c r="AQ74" s="263">
        <f>$AP$77</f>
        <v>1365.799999999999</v>
      </c>
      <c r="AR74" s="263">
        <f t="shared" ref="AR74:AT74" si="35">$AP$77</f>
        <v>1365.799999999999</v>
      </c>
      <c r="AS74" s="263">
        <f t="shared" si="35"/>
        <v>1365.799999999999</v>
      </c>
      <c r="AT74" s="667">
        <f t="shared" si="35"/>
        <v>1365.799999999999</v>
      </c>
      <c r="AU74" s="263">
        <f>$AT$77</f>
        <v>3644.2999999999965</v>
      </c>
      <c r="AV74" s="263">
        <f>$AT$77</f>
        <v>3644.2999999999965</v>
      </c>
      <c r="AW74" s="263">
        <f>$AT$77</f>
        <v>3644.2999999999965</v>
      </c>
      <c r="AX74" s="749">
        <f>$AT$77</f>
        <v>3644.2999999999965</v>
      </c>
      <c r="AY74" s="263">
        <f>$AX$77</f>
        <v>817.7999999999962</v>
      </c>
      <c r="AZ74" s="263">
        <f>$AX$77</f>
        <v>817.7999999999962</v>
      </c>
      <c r="BA74" s="263">
        <f>$AX$77</f>
        <v>817.7999999999962</v>
      </c>
      <c r="BB74" s="749">
        <v>817.8</v>
      </c>
      <c r="BC74" s="263">
        <f>$BB$77</f>
        <v>3325.6999999999989</v>
      </c>
      <c r="BD74" s="263">
        <f>$BB$77</f>
        <v>3325.6999999999989</v>
      </c>
      <c r="BE74" s="263"/>
      <c r="BF74" s="749"/>
    </row>
    <row r="75" spans="1:61">
      <c r="A75" s="70" t="s">
        <v>422</v>
      </c>
      <c r="B75" s="672" t="s">
        <v>423</v>
      </c>
      <c r="C75" s="68">
        <v>-2.5009999999999999</v>
      </c>
      <c r="D75" s="68">
        <v>-1.2710000000000001</v>
      </c>
      <c r="E75" s="68">
        <v>-1.339</v>
      </c>
      <c r="F75" s="68">
        <v>-1.7690000000000001</v>
      </c>
      <c r="G75" s="655">
        <v>0.161</v>
      </c>
      <c r="H75" s="68">
        <v>0.52800000000000002</v>
      </c>
      <c r="I75" s="68">
        <v>0.16</v>
      </c>
      <c r="J75" s="656">
        <v>-0.46100000000000002</v>
      </c>
      <c r="K75" s="68">
        <v>-1.7000000000000001E-2</v>
      </c>
      <c r="L75" s="68">
        <v>-0.7</v>
      </c>
      <c r="M75" s="68">
        <v>0.9</v>
      </c>
      <c r="N75" s="68">
        <v>1.9</v>
      </c>
      <c r="O75" s="655">
        <v>1.6</v>
      </c>
      <c r="P75" s="68">
        <v>2</v>
      </c>
      <c r="Q75" s="68">
        <v>1.4</v>
      </c>
      <c r="R75" s="656">
        <v>1.4</v>
      </c>
      <c r="S75" s="68">
        <v>-3.7</v>
      </c>
      <c r="T75" s="68">
        <v>0.4</v>
      </c>
      <c r="U75" s="68">
        <v>-2.1</v>
      </c>
      <c r="V75" s="68">
        <v>2.5</v>
      </c>
      <c r="W75" s="655">
        <v>-3.7</v>
      </c>
      <c r="X75" s="68">
        <v>-3.7</v>
      </c>
      <c r="Y75" s="68">
        <v>-2.8</v>
      </c>
      <c r="Z75" s="656">
        <v>-5.0999999999999996</v>
      </c>
      <c r="AA75" s="68">
        <v>0.5</v>
      </c>
      <c r="AB75" s="68">
        <v>1.5</v>
      </c>
      <c r="AC75" s="68">
        <v>2.2999999999999998</v>
      </c>
      <c r="AD75" s="68">
        <v>1.4</v>
      </c>
      <c r="AE75" s="655">
        <v>-1</v>
      </c>
      <c r="AF75" s="68">
        <v>-2</v>
      </c>
      <c r="AG75" s="68">
        <v>2.2999999999999998</v>
      </c>
      <c r="AH75" s="656">
        <v>0.8</v>
      </c>
      <c r="AI75" s="68">
        <v>-1</v>
      </c>
      <c r="AJ75" s="68">
        <v>-2</v>
      </c>
      <c r="AK75" s="68">
        <v>2.2999999999999998</v>
      </c>
      <c r="AL75" s="68">
        <v>0.8</v>
      </c>
      <c r="AM75" s="655">
        <v>2.9</v>
      </c>
      <c r="AN75" s="68">
        <v>1.5</v>
      </c>
      <c r="AO75" s="68">
        <v>2.2999999999999998</v>
      </c>
      <c r="AP75" s="656">
        <v>3.3</v>
      </c>
      <c r="AQ75" s="68">
        <v>-1.3</v>
      </c>
      <c r="AR75" s="68">
        <v>-2</v>
      </c>
      <c r="AS75" s="68">
        <v>-0.7</v>
      </c>
      <c r="AT75" s="656">
        <v>-0.8</v>
      </c>
      <c r="AU75" s="68">
        <v>-2.4</v>
      </c>
      <c r="AV75" s="68">
        <v>-4.7</v>
      </c>
      <c r="AW75" s="68">
        <v>-6.2</v>
      </c>
      <c r="AX75" s="656">
        <v>-5.9</v>
      </c>
      <c r="AY75" s="68">
        <v>-0.2</v>
      </c>
      <c r="AZ75" s="68">
        <v>-12.6</v>
      </c>
      <c r="BA75" s="68">
        <v>39.299999999999997</v>
      </c>
      <c r="BB75" s="656">
        <v>-3.8</v>
      </c>
      <c r="BC75" s="68">
        <v>-9.6999999999999993</v>
      </c>
      <c r="BD75" s="68">
        <v>-5.4</v>
      </c>
      <c r="BE75" s="68"/>
      <c r="BF75" s="656"/>
    </row>
    <row r="76" spans="1:61" ht="20.149999999999999" customHeight="1">
      <c r="A76" s="70" t="s">
        <v>424</v>
      </c>
      <c r="B76" s="672" t="s">
        <v>425</v>
      </c>
      <c r="C76" s="68"/>
      <c r="D76" s="68"/>
      <c r="E76" s="68"/>
      <c r="F76" s="68"/>
      <c r="G76" s="655"/>
      <c r="H76" s="68"/>
      <c r="I76" s="68"/>
      <c r="J76" s="656"/>
      <c r="K76" s="68"/>
      <c r="L76" s="68"/>
      <c r="M76" s="68"/>
      <c r="N76" s="68"/>
      <c r="O76" s="655"/>
      <c r="P76" s="68"/>
      <c r="Q76" s="68"/>
      <c r="R76" s="656"/>
      <c r="S76" s="68"/>
      <c r="T76" s="68"/>
      <c r="U76" s="68"/>
      <c r="V76" s="68"/>
      <c r="W76" s="655"/>
      <c r="X76" s="68"/>
      <c r="Y76" s="68"/>
      <c r="Z76" s="656"/>
      <c r="AA76" s="68"/>
      <c r="AB76" s="68"/>
      <c r="AC76" s="68"/>
      <c r="AD76" s="68"/>
      <c r="AE76" s="655"/>
      <c r="AF76" s="68"/>
      <c r="AG76" s="68"/>
      <c r="AH76" s="656"/>
      <c r="AI76" s="68"/>
      <c r="AJ76" s="68"/>
      <c r="AK76" s="68"/>
      <c r="AL76" s="68"/>
      <c r="AM76" s="655"/>
      <c r="AN76" s="68"/>
      <c r="AO76" s="68"/>
      <c r="AP76" s="656"/>
      <c r="AQ76" s="68">
        <v>-108.5</v>
      </c>
      <c r="AR76" s="68">
        <v>-95.5</v>
      </c>
      <c r="AS76" s="68">
        <v>0</v>
      </c>
      <c r="AT76" s="656">
        <v>0</v>
      </c>
      <c r="AU76" s="68">
        <v>0</v>
      </c>
      <c r="AV76" s="68">
        <v>0</v>
      </c>
      <c r="AW76" s="68">
        <v>0</v>
      </c>
      <c r="AX76" s="656">
        <v>0</v>
      </c>
      <c r="AY76" s="68">
        <v>0</v>
      </c>
      <c r="AZ76" s="68">
        <v>0</v>
      </c>
      <c r="BA76" s="68">
        <v>0</v>
      </c>
      <c r="BB76" s="656">
        <v>-1.2</v>
      </c>
      <c r="BC76" s="68">
        <v>0</v>
      </c>
      <c r="BD76" s="68">
        <v>0</v>
      </c>
      <c r="BE76" s="68"/>
      <c r="BF76" s="656"/>
    </row>
    <row r="77" spans="1:61" s="264" customFormat="1" ht="25.25" customHeight="1">
      <c r="A77" s="384" t="s">
        <v>426</v>
      </c>
      <c r="B77" s="674" t="s">
        <v>427</v>
      </c>
      <c r="C77" s="385">
        <f>C73+C74+C75</f>
        <v>421.89699999999999</v>
      </c>
      <c r="D77" s="385">
        <f t="shared" ref="D77:R77" si="36">D74+D73+D75</f>
        <v>309.51900000000001</v>
      </c>
      <c r="E77" s="385">
        <f t="shared" si="36"/>
        <v>225.11100000000005</v>
      </c>
      <c r="F77" s="385">
        <f t="shared" si="36"/>
        <v>270.35400000000004</v>
      </c>
      <c r="G77" s="660">
        <f t="shared" si="36"/>
        <v>324.33799999999997</v>
      </c>
      <c r="H77" s="385">
        <f t="shared" si="36"/>
        <v>265.803</v>
      </c>
      <c r="I77" s="385">
        <f t="shared" si="36"/>
        <v>215.39599999999982</v>
      </c>
      <c r="J77" s="661">
        <f t="shared" si="36"/>
        <v>342.25099999999981</v>
      </c>
      <c r="K77" s="385">
        <f t="shared" si="36"/>
        <v>428.19000000000005</v>
      </c>
      <c r="L77" s="385">
        <f t="shared" si="36"/>
        <v>1906.8999999999999</v>
      </c>
      <c r="M77" s="385">
        <f t="shared" si="36"/>
        <v>1643.2</v>
      </c>
      <c r="N77" s="385">
        <f t="shared" si="36"/>
        <v>1747.8999999999999</v>
      </c>
      <c r="O77" s="660">
        <f t="shared" si="36"/>
        <v>1491.6000000000001</v>
      </c>
      <c r="P77" s="385">
        <f t="shared" si="36"/>
        <v>1396.5999999999997</v>
      </c>
      <c r="Q77" s="385">
        <f t="shared" si="36"/>
        <v>1071.9999999999991</v>
      </c>
      <c r="R77" s="661">
        <f t="shared" si="36"/>
        <v>1523.6999999999989</v>
      </c>
      <c r="S77" s="385">
        <f t="shared" ref="S77:Z77" si="37">S74+S73+S75</f>
        <v>1569.9999999999984</v>
      </c>
      <c r="T77" s="385">
        <f t="shared" si="37"/>
        <v>955.39999999999884</v>
      </c>
      <c r="U77" s="385">
        <f t="shared" si="37"/>
        <v>1110.1999999999998</v>
      </c>
      <c r="V77" s="385">
        <f t="shared" si="37"/>
        <v>1336.6999999999989</v>
      </c>
      <c r="W77" s="660">
        <f t="shared" si="37"/>
        <v>1577.299999999999</v>
      </c>
      <c r="X77" s="385">
        <f t="shared" si="37"/>
        <v>1362.5999999999988</v>
      </c>
      <c r="Y77" s="385">
        <f t="shared" si="37"/>
        <v>1088.3999999999985</v>
      </c>
      <c r="Z77" s="661">
        <f t="shared" si="37"/>
        <v>1171.9999999999995</v>
      </c>
      <c r="AA77" s="385">
        <f t="shared" ref="AA77:AD77" si="38">AA74+AA73+AA75</f>
        <v>797.49999999999966</v>
      </c>
      <c r="AB77" s="385">
        <f t="shared" si="38"/>
        <v>887.7999999999995</v>
      </c>
      <c r="AC77" s="385">
        <f t="shared" si="38"/>
        <v>1163.0999999999997</v>
      </c>
      <c r="AD77" s="385">
        <f t="shared" si="38"/>
        <v>1178.6999999999994</v>
      </c>
      <c r="AE77" s="660">
        <f t="shared" ref="AE77:AH77" si="39">AE74+AE73+AE75</f>
        <v>757.00000000000011</v>
      </c>
      <c r="AF77" s="385">
        <f>AF74+AF73+AF75</f>
        <v>783.7999999999995</v>
      </c>
      <c r="AG77" s="385">
        <f t="shared" si="39"/>
        <v>886.2</v>
      </c>
      <c r="AH77" s="661">
        <f t="shared" si="39"/>
        <v>753.09999999999877</v>
      </c>
      <c r="AI77" s="385">
        <f t="shared" ref="AI77" si="40">AI74+AI73+AI75</f>
        <v>757.00000000000011</v>
      </c>
      <c r="AJ77" s="385">
        <f>AJ74+AJ73+AJ75</f>
        <v>783.7999999999995</v>
      </c>
      <c r="AK77" s="385">
        <f t="shared" ref="AK77:AL77" si="41">AK74+AK73+AK75</f>
        <v>886.2000000000005</v>
      </c>
      <c r="AL77" s="385">
        <f t="shared" si="41"/>
        <v>753.09999999999786</v>
      </c>
      <c r="AM77" s="660">
        <f t="shared" ref="AM77" si="42">AM74+AM73+AM75</f>
        <v>1140.7888265199979</v>
      </c>
      <c r="AN77" s="385">
        <f>AN74+AN73+AN75</f>
        <v>1320.5000000000005</v>
      </c>
      <c r="AO77" s="385">
        <f t="shared" ref="AO77:AP77" si="43">AO74+AO73+AO75</f>
        <v>1164.2</v>
      </c>
      <c r="AP77" s="661">
        <f t="shared" si="43"/>
        <v>1365.799999999999</v>
      </c>
      <c r="AQ77" s="385">
        <f>AQ74+AQ73+AQ75+AQ76</f>
        <v>1158.799999999999</v>
      </c>
      <c r="AR77" s="385">
        <f>AR74+AR73+AR75+AR76</f>
        <v>668.49999999999909</v>
      </c>
      <c r="AS77" s="385">
        <f t="shared" ref="AS77:AT77" si="44">AS74+AS73+AS75</f>
        <v>7472.3</v>
      </c>
      <c r="AT77" s="661">
        <f t="shared" si="44"/>
        <v>3644.2999999999965</v>
      </c>
      <c r="AU77" s="385">
        <f>AU74+AU73+AU75+AU76</f>
        <v>3353.6999999999966</v>
      </c>
      <c r="AV77" s="385">
        <f>AV74+AV73+AV75+AV76</f>
        <v>1061.9999999999966</v>
      </c>
      <c r="AW77" s="385">
        <f t="shared" ref="AW77:AX77" si="45">AW74+AW73+AW75</f>
        <v>1596.0999999999967</v>
      </c>
      <c r="AX77" s="661">
        <f t="shared" si="45"/>
        <v>817.7999999999962</v>
      </c>
      <c r="AY77" s="385">
        <f>AY74+AY73+AY75+AY76</f>
        <v>1473.3999999999967</v>
      </c>
      <c r="AZ77" s="385">
        <f>AZ74+AZ73+AZ75+AZ76</f>
        <v>3478.4999999999955</v>
      </c>
      <c r="BA77" s="385">
        <f t="shared" ref="BA77" si="46">BA74+BA73+BA75</f>
        <v>4181.6999999999962</v>
      </c>
      <c r="BB77" s="661">
        <f>BB74+BB73+BB75+BB76</f>
        <v>3325.6999999999989</v>
      </c>
      <c r="BC77" s="385">
        <f>BC74+BC73+BC75+BC76</f>
        <v>2719.1999999999989</v>
      </c>
      <c r="BD77" s="385">
        <f>BD74+BD73+BD75+BD76</f>
        <v>3076.7999999999988</v>
      </c>
      <c r="BE77" s="385"/>
      <c r="BF77" s="661"/>
      <c r="BH77" s="937"/>
    </row>
    <row r="78" spans="1:61">
      <c r="N78" s="233"/>
      <c r="AE78" s="4"/>
      <c r="AF78" s="4"/>
      <c r="AG78" s="4"/>
      <c r="AH78" s="4"/>
      <c r="AI78" s="4"/>
      <c r="AJ78" s="4"/>
      <c r="AK78" s="4"/>
      <c r="AL78" s="4"/>
      <c r="AM78" s="4"/>
      <c r="AN78" s="4"/>
      <c r="AO78" s="4"/>
      <c r="AP78" s="4"/>
      <c r="AQ78" s="4"/>
      <c r="AR78" s="4"/>
      <c r="AS78" s="4"/>
      <c r="AT78" s="4"/>
      <c r="AU78" s="4"/>
      <c r="AV78" s="4"/>
      <c r="AW78" s="4"/>
      <c r="AX78" s="4"/>
      <c r="AY78" s="4"/>
      <c r="AZ78" s="4"/>
      <c r="BA78" s="4"/>
      <c r="BB78" s="4"/>
    </row>
    <row r="79" spans="1:61" s="6" customFormat="1" ht="52">
      <c r="A79" s="117" t="s">
        <v>428</v>
      </c>
      <c r="B79" s="117" t="s">
        <v>429</v>
      </c>
      <c r="N79" s="16"/>
      <c r="AB79" s="74"/>
      <c r="BD79" s="4"/>
      <c r="BE79" s="4"/>
      <c r="BF79" s="4"/>
      <c r="BG79" s="4"/>
      <c r="BH79" s="4"/>
      <c r="BI79" s="4"/>
    </row>
    <row r="80" spans="1:61" s="6" customFormat="1" ht="19.5" customHeight="1">
      <c r="A80" s="117" t="s">
        <v>430</v>
      </c>
      <c r="B80" s="117" t="s">
        <v>431</v>
      </c>
      <c r="N80" s="16"/>
      <c r="AB80" s="74"/>
      <c r="BD80" s="936"/>
      <c r="BE80" s="4"/>
      <c r="BF80" s="4"/>
      <c r="BG80" s="4"/>
      <c r="BH80" s="4"/>
      <c r="BI80" s="4"/>
    </row>
    <row r="81" spans="1:61" s="6" customFormat="1" ht="44.25" customHeight="1">
      <c r="A81" s="117" t="s">
        <v>432</v>
      </c>
      <c r="B81" s="117" t="s">
        <v>433</v>
      </c>
      <c r="N81" s="16"/>
      <c r="AB81" s="90"/>
      <c r="BD81" s="4"/>
      <c r="BE81" s="4"/>
      <c r="BF81" s="4"/>
      <c r="BG81" s="4"/>
      <c r="BH81" s="4"/>
      <c r="BI81" s="4"/>
    </row>
    <row r="82" spans="1:61" s="6" customFormat="1" ht="29.25" customHeight="1">
      <c r="A82" s="117" t="s">
        <v>434</v>
      </c>
      <c r="B82" s="117" t="s">
        <v>435</v>
      </c>
      <c r="N82" s="16"/>
      <c r="AB82" s="90"/>
      <c r="BD82" s="4"/>
      <c r="BE82" s="4"/>
      <c r="BF82" s="4"/>
      <c r="BG82" s="4"/>
      <c r="BH82" s="4"/>
      <c r="BI82" s="4"/>
    </row>
    <row r="83" spans="1:61" s="6" customFormat="1" ht="51" customHeight="1">
      <c r="A83" s="117" t="s">
        <v>436</v>
      </c>
      <c r="B83" s="117" t="s">
        <v>437</v>
      </c>
      <c r="N83" s="16"/>
      <c r="AB83" s="90"/>
      <c r="BD83" s="4"/>
      <c r="BE83" s="4"/>
      <c r="BF83" s="4"/>
      <c r="BG83" s="4"/>
      <c r="BH83" s="4"/>
      <c r="BI83" s="4"/>
    </row>
    <row r="84" spans="1:61" s="6" customFormat="1" ht="24" customHeight="1">
      <c r="A84" s="117" t="s">
        <v>438</v>
      </c>
      <c r="B84" s="117" t="s">
        <v>439</v>
      </c>
      <c r="N84" s="16"/>
      <c r="AB84" s="91"/>
      <c r="BD84" s="4"/>
      <c r="BE84" s="4"/>
      <c r="BF84" s="4"/>
      <c r="BG84" s="4"/>
      <c r="BH84" s="4"/>
      <c r="BI84" s="4"/>
    </row>
    <row r="85" spans="1:61" s="6" customFormat="1" ht="68.25" customHeight="1">
      <c r="A85" s="117" t="s">
        <v>440</v>
      </c>
      <c r="B85" s="117" t="s">
        <v>441</v>
      </c>
      <c r="N85" s="16"/>
      <c r="AB85" s="91"/>
      <c r="AD85" s="6" t="s">
        <v>442</v>
      </c>
      <c r="BD85" s="4"/>
      <c r="BE85" s="4"/>
      <c r="BF85" s="4"/>
      <c r="BG85" s="4"/>
      <c r="BH85" s="4"/>
      <c r="BI85" s="4"/>
    </row>
    <row r="86" spans="1:61" s="6" customFormat="1" ht="21.75" customHeight="1">
      <c r="A86" s="117" t="s">
        <v>443</v>
      </c>
      <c r="B86" s="117" t="s">
        <v>444</v>
      </c>
      <c r="N86" s="16"/>
      <c r="AB86" s="90"/>
      <c r="BD86" s="4"/>
      <c r="BE86" s="4"/>
      <c r="BF86" s="4"/>
      <c r="BG86" s="4"/>
      <c r="BH86" s="4"/>
      <c r="BI86" s="4"/>
    </row>
    <row r="87" spans="1:61" s="6" customFormat="1">
      <c r="A87" s="117"/>
      <c r="B87" s="117"/>
      <c r="N87" s="16"/>
      <c r="AB87" s="90"/>
      <c r="BD87" s="4"/>
      <c r="BE87" s="4"/>
      <c r="BF87" s="4"/>
      <c r="BG87" s="4"/>
      <c r="BH87" s="4"/>
      <c r="BI87" s="4"/>
    </row>
    <row r="88" spans="1:61" s="6" customFormat="1">
      <c r="A88" s="117"/>
      <c r="B88" s="117"/>
      <c r="N88" s="16"/>
      <c r="AB88" s="90"/>
      <c r="BD88" s="4"/>
      <c r="BE88" s="4"/>
      <c r="BF88" s="4"/>
      <c r="BG88" s="4"/>
      <c r="BH88" s="4"/>
      <c r="BI88" s="4"/>
    </row>
    <row r="89" spans="1:61" s="6" customFormat="1">
      <c r="A89" s="117"/>
      <c r="B89" s="117"/>
      <c r="N89" s="16"/>
      <c r="AB89" s="90"/>
    </row>
    <row r="90" spans="1:61" s="6" customFormat="1">
      <c r="A90" s="117"/>
      <c r="B90" s="117"/>
      <c r="N90" s="16"/>
      <c r="AB90" s="90"/>
    </row>
    <row r="91" spans="1:61" s="6" customFormat="1">
      <c r="A91" s="117"/>
      <c r="B91" s="117"/>
      <c r="N91" s="16"/>
      <c r="AB91" s="90"/>
    </row>
    <row r="92" spans="1:61" s="6" customFormat="1">
      <c r="A92" s="117"/>
      <c r="B92" s="117"/>
      <c r="N92" s="16"/>
      <c r="AB92" s="90"/>
    </row>
    <row r="93" spans="1:61" s="6" customFormat="1" ht="14.5">
      <c r="A93" s="117"/>
      <c r="B93" s="117"/>
      <c r="N93" s="16"/>
      <c r="AB93" s="91"/>
    </row>
    <row r="94" spans="1:61" s="6" customFormat="1" ht="14.5">
      <c r="A94" s="117"/>
      <c r="B94" s="117"/>
      <c r="N94" s="16"/>
      <c r="AB94" s="92"/>
    </row>
    <row r="95" spans="1:61" s="6" customFormat="1">
      <c r="A95" s="117"/>
      <c r="B95" s="117"/>
      <c r="N95" s="16"/>
      <c r="AB95" s="90"/>
    </row>
    <row r="96" spans="1:61" s="6" customFormat="1">
      <c r="A96" s="117"/>
      <c r="B96" s="117"/>
      <c r="N96" s="16"/>
      <c r="AB96" s="90"/>
    </row>
    <row r="97" spans="1:28" s="6" customFormat="1">
      <c r="A97" s="117"/>
      <c r="B97" s="117"/>
      <c r="N97" s="16"/>
      <c r="AB97" s="90"/>
    </row>
    <row r="98" spans="1:28" s="6" customFormat="1">
      <c r="A98" s="117"/>
      <c r="B98" s="117"/>
      <c r="N98" s="16"/>
      <c r="AB98" s="90"/>
    </row>
    <row r="99" spans="1:28" s="6" customFormat="1">
      <c r="A99" s="117"/>
      <c r="B99" s="117"/>
      <c r="N99" s="16"/>
      <c r="AB99" s="90"/>
    </row>
    <row r="100" spans="1:28" s="6" customFormat="1">
      <c r="A100" s="117"/>
      <c r="B100" s="117"/>
      <c r="N100" s="16"/>
      <c r="AB100" s="90"/>
    </row>
    <row r="101" spans="1:28" s="6" customFormat="1">
      <c r="A101" s="117"/>
      <c r="B101" s="117"/>
      <c r="N101" s="16"/>
      <c r="AB101" s="90"/>
    </row>
    <row r="102" spans="1:28" s="6" customFormat="1">
      <c r="A102" s="117"/>
      <c r="B102" s="117"/>
      <c r="N102" s="16"/>
      <c r="AB102" s="68"/>
    </row>
    <row r="103" spans="1:28" s="6" customFormat="1">
      <c r="A103" s="117"/>
      <c r="B103" s="117"/>
      <c r="N103" s="16"/>
      <c r="AB103" s="93"/>
    </row>
    <row r="104" spans="1:28" s="6" customFormat="1">
      <c r="A104" s="117"/>
      <c r="B104" s="117"/>
      <c r="N104" s="16"/>
      <c r="AB104" s="68"/>
    </row>
    <row r="105" spans="1:28" s="6" customFormat="1">
      <c r="A105" s="117"/>
      <c r="B105" s="117"/>
      <c r="N105" s="16"/>
      <c r="AB105" s="68"/>
    </row>
    <row r="106" spans="1:28" s="6" customFormat="1">
      <c r="A106" s="117"/>
      <c r="B106" s="117"/>
      <c r="N106" s="16"/>
      <c r="AB106" s="93"/>
    </row>
    <row r="107" spans="1:28" s="6" customFormat="1">
      <c r="A107" s="117"/>
      <c r="B107" s="117"/>
      <c r="N107" s="16"/>
      <c r="AB107" s="68"/>
    </row>
    <row r="108" spans="1:28" s="6" customFormat="1">
      <c r="A108" s="117"/>
      <c r="B108" s="117"/>
      <c r="N108" s="16"/>
      <c r="AB108" s="68"/>
    </row>
    <row r="109" spans="1:28" s="6" customFormat="1">
      <c r="A109" s="117"/>
      <c r="B109" s="117"/>
      <c r="N109" s="16"/>
      <c r="AB109" s="68"/>
    </row>
    <row r="110" spans="1:28" s="6" customFormat="1">
      <c r="A110" s="117"/>
      <c r="B110" s="117"/>
      <c r="N110" s="16"/>
      <c r="AB110" s="68"/>
    </row>
    <row r="111" spans="1:28" s="6" customFormat="1">
      <c r="A111" s="117"/>
      <c r="B111" s="117"/>
      <c r="N111" s="16"/>
      <c r="AB111" s="68"/>
    </row>
    <row r="112" spans="1:28" s="6" customFormat="1">
      <c r="A112" s="117"/>
      <c r="B112" s="117"/>
      <c r="N112" s="16"/>
      <c r="AB112" s="68"/>
    </row>
    <row r="113" spans="1:28" s="6" customFormat="1">
      <c r="A113" s="117"/>
      <c r="B113" s="117"/>
      <c r="N113" s="16"/>
      <c r="AB113" s="68"/>
    </row>
    <row r="114" spans="1:28" s="6" customFormat="1">
      <c r="A114" s="117"/>
      <c r="B114" s="117"/>
      <c r="N114" s="16"/>
      <c r="AB114" s="68"/>
    </row>
    <row r="115" spans="1:28" s="6" customFormat="1">
      <c r="A115" s="117"/>
      <c r="B115" s="117"/>
      <c r="N115" s="16"/>
      <c r="AB115" s="68"/>
    </row>
    <row r="116" spans="1:28" s="6" customFormat="1">
      <c r="A116" s="117"/>
      <c r="B116" s="117"/>
      <c r="N116" s="16"/>
      <c r="AB116" s="68"/>
    </row>
    <row r="117" spans="1:28" s="6" customFormat="1">
      <c r="A117" s="117"/>
      <c r="B117" s="117"/>
      <c r="AB117" s="68"/>
    </row>
    <row r="118" spans="1:28" s="6" customFormat="1">
      <c r="A118" s="117"/>
      <c r="B118" s="117"/>
      <c r="AB118" s="68"/>
    </row>
    <row r="119" spans="1:28" s="6" customFormat="1" ht="14.5">
      <c r="A119" s="117"/>
      <c r="B119" s="117"/>
      <c r="AB119" s="92"/>
    </row>
    <row r="120" spans="1:28" s="6" customFormat="1">
      <c r="A120" s="117"/>
      <c r="B120" s="117"/>
      <c r="AB120" s="68"/>
    </row>
    <row r="121" spans="1:28" s="6" customFormat="1">
      <c r="A121" s="117"/>
      <c r="B121" s="117"/>
      <c r="AB121" s="68"/>
    </row>
    <row r="122" spans="1:28" s="6" customFormat="1">
      <c r="A122" s="117"/>
      <c r="B122" s="117"/>
      <c r="AB122" s="93"/>
    </row>
    <row r="123" spans="1:28" s="6" customFormat="1">
      <c r="A123" s="117"/>
      <c r="B123" s="117"/>
      <c r="AB123" s="68"/>
    </row>
    <row r="124" spans="1:28" s="6" customFormat="1">
      <c r="A124" s="117"/>
      <c r="B124" s="117"/>
      <c r="AB124" s="68"/>
    </row>
    <row r="125" spans="1:28" s="6" customFormat="1">
      <c r="A125" s="117"/>
      <c r="B125" s="117"/>
      <c r="AB125" s="68"/>
    </row>
    <row r="126" spans="1:28" s="6" customFormat="1">
      <c r="A126" s="117"/>
      <c r="B126" s="117"/>
      <c r="AB126" s="68"/>
    </row>
    <row r="127" spans="1:28" s="6" customFormat="1">
      <c r="A127" s="117"/>
      <c r="B127" s="117"/>
      <c r="AB127" s="68"/>
    </row>
    <row r="128" spans="1:28" s="6" customFormat="1">
      <c r="A128" s="117"/>
      <c r="B128" s="117"/>
      <c r="AB128" s="68"/>
    </row>
    <row r="129" spans="1:28" s="6" customFormat="1">
      <c r="A129" s="117"/>
      <c r="B129" s="117"/>
      <c r="AB129" s="68"/>
    </row>
    <row r="130" spans="1:28" s="6" customFormat="1">
      <c r="A130" s="117"/>
      <c r="B130" s="117"/>
      <c r="AB130" s="68"/>
    </row>
    <row r="131" spans="1:28" s="6" customFormat="1">
      <c r="A131" s="117"/>
      <c r="B131" s="117"/>
      <c r="AB131" s="68"/>
    </row>
    <row r="132" spans="1:28" s="6" customFormat="1">
      <c r="A132" s="117"/>
      <c r="B132" s="117"/>
      <c r="AB132" s="68"/>
    </row>
    <row r="133" spans="1:28" s="6" customFormat="1">
      <c r="A133" s="117"/>
      <c r="B133" s="117"/>
      <c r="AB133" s="93"/>
    </row>
    <row r="134" spans="1:28" s="6" customFormat="1">
      <c r="A134" s="117"/>
      <c r="B134" s="117"/>
      <c r="AB134" s="93"/>
    </row>
    <row r="135" spans="1:28" s="6" customFormat="1">
      <c r="A135" s="117"/>
      <c r="B135" s="117"/>
      <c r="AB135" s="93"/>
    </row>
    <row r="136" spans="1:28" s="6" customFormat="1">
      <c r="A136" s="117"/>
      <c r="B136" s="117"/>
      <c r="AB136" s="68"/>
    </row>
    <row r="137" spans="1:28" s="6" customFormat="1">
      <c r="A137" s="117"/>
      <c r="B137" s="117"/>
      <c r="AB137" s="93"/>
    </row>
    <row r="138" spans="1:28" s="6" customFormat="1">
      <c r="A138" s="117"/>
      <c r="B138" s="117"/>
      <c r="AB138" s="4"/>
    </row>
    <row r="139" spans="1:28" s="6" customFormat="1">
      <c r="A139" s="117"/>
      <c r="B139" s="117"/>
      <c r="AB139" s="4"/>
    </row>
    <row r="140" spans="1:28" s="6" customFormat="1">
      <c r="A140" s="117"/>
      <c r="B140" s="117"/>
      <c r="AB140" s="4"/>
    </row>
    <row r="141" spans="1:28" s="6" customFormat="1">
      <c r="A141" s="117"/>
      <c r="B141" s="117"/>
      <c r="AB141" s="4"/>
    </row>
    <row r="142" spans="1:28" s="6" customFormat="1">
      <c r="A142" s="117"/>
      <c r="B142" s="117"/>
      <c r="AB142" s="4"/>
    </row>
    <row r="143" spans="1:28" s="6" customFormat="1">
      <c r="A143" s="117"/>
      <c r="B143" s="117"/>
      <c r="AB143" s="4"/>
    </row>
    <row r="144" spans="1:28" s="6" customFormat="1">
      <c r="A144" s="117"/>
      <c r="B144" s="117"/>
      <c r="AB144" s="4"/>
    </row>
    <row r="145" spans="1:56" s="6" customFormat="1">
      <c r="A145" s="117"/>
      <c r="B145" s="117"/>
      <c r="AB145" s="4"/>
    </row>
    <row r="146" spans="1:56" s="6" customFormat="1">
      <c r="A146" s="117"/>
      <c r="B146" s="117"/>
      <c r="AB146" s="4"/>
    </row>
    <row r="147" spans="1:56" s="6" customFormat="1">
      <c r="A147" s="117"/>
      <c r="B147" s="117"/>
      <c r="AB147" s="4"/>
    </row>
    <row r="148" spans="1:56" s="6" customFormat="1">
      <c r="A148" s="117"/>
      <c r="B148" s="117"/>
      <c r="AB148" s="4"/>
    </row>
    <row r="149" spans="1:56" s="6" customFormat="1">
      <c r="A149" s="117"/>
      <c r="B149" s="117"/>
      <c r="AB149" s="4"/>
    </row>
    <row r="150" spans="1:56" s="6" customFormat="1">
      <c r="A150" s="117"/>
      <c r="B150" s="117"/>
      <c r="AB150" s="4"/>
    </row>
    <row r="151" spans="1:56" s="6" customFormat="1">
      <c r="A151" s="117"/>
      <c r="B151" s="117"/>
      <c r="AB151" s="4"/>
    </row>
    <row r="152" spans="1:56" s="6" customFormat="1">
      <c r="A152" s="117"/>
      <c r="B152" s="117"/>
      <c r="AB152" s="4"/>
    </row>
    <row r="153" spans="1:56" s="6" customFormat="1">
      <c r="A153" s="117"/>
      <c r="B153" s="117"/>
      <c r="AB153" s="4"/>
    </row>
    <row r="154" spans="1:56" s="6" customFormat="1">
      <c r="A154" s="117"/>
      <c r="B154" s="117"/>
      <c r="AB154" s="4"/>
    </row>
    <row r="155" spans="1:56" s="6" customFormat="1">
      <c r="A155" s="117"/>
      <c r="B155" s="117"/>
      <c r="AB155" s="4"/>
    </row>
    <row r="156" spans="1:56">
      <c r="A156" s="117"/>
      <c r="B156" s="117"/>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C156" s="6"/>
      <c r="AD156" s="6"/>
      <c r="BD156" s="6"/>
    </row>
    <row r="157" spans="1:56">
      <c r="BD157" s="6"/>
    </row>
    <row r="158" spans="1:56">
      <c r="BD158"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7">
    <mergeCell ref="BG22:BG23"/>
    <mergeCell ref="BH22:BH23"/>
    <mergeCell ref="BI22:BI23"/>
    <mergeCell ref="AY2:BB2"/>
    <mergeCell ref="AU2:AX2"/>
    <mergeCell ref="BC2:BF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9"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2"/>
  <sheetViews>
    <sheetView showGridLines="0" zoomScale="70" zoomScaleNormal="70" zoomScaleSheetLayoutView="100" workbookViewId="0">
      <pane xSplit="38" topLeftCell="BT1" activePane="topRight" state="frozen"/>
      <selection pane="topRight"/>
    </sheetView>
  </sheetViews>
  <sheetFormatPr defaultColWidth="9" defaultRowHeight="14.5"/>
  <cols>
    <col min="1" max="1" width="43.1640625" style="166" customWidth="1"/>
    <col min="2" max="2" width="42.4140625" style="166" customWidth="1"/>
    <col min="3" max="38" width="3.5" style="166" hidden="1" customWidth="1"/>
    <col min="39" max="43" width="9" style="165"/>
    <col min="44" max="48" width="9" style="165" hidden="1" customWidth="1"/>
    <col min="49" max="53" width="9" style="165"/>
    <col min="54" max="54" width="9.1640625" style="165" bestFit="1" customWidth="1"/>
    <col min="55" max="58" width="9" style="165"/>
    <col min="59" max="59" width="9.1640625" style="165" bestFit="1" customWidth="1"/>
    <col min="60" max="63" width="9" style="165"/>
    <col min="64" max="64" width="9.1640625" style="165" bestFit="1" customWidth="1"/>
    <col min="65" max="68" width="9" style="165"/>
    <col min="69" max="69" width="9.1640625" style="165" bestFit="1" customWidth="1"/>
    <col min="70" max="73" width="9" style="165"/>
    <col min="74" max="74" width="9.1640625" style="165" bestFit="1" customWidth="1"/>
    <col min="75" max="79" width="9" style="165"/>
    <col min="80" max="80" width="9.6640625" style="165" bestFit="1" customWidth="1"/>
    <col min="81" max="492" width="9" style="165"/>
    <col min="493" max="16384" width="9" style="166"/>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945"/>
      <c r="AN1" s="945"/>
      <c r="AO1" s="945"/>
      <c r="AP1" s="945"/>
      <c r="AQ1" s="945"/>
      <c r="AR1" s="945"/>
      <c r="AS1" s="945"/>
      <c r="AT1" s="945"/>
      <c r="AU1" s="945"/>
      <c r="AV1" s="945"/>
      <c r="AW1" s="945"/>
      <c r="AX1" s="945"/>
      <c r="AY1" s="945"/>
      <c r="AZ1" s="945"/>
      <c r="BA1" s="945"/>
      <c r="BB1" s="945"/>
      <c r="BC1" s="945"/>
      <c r="BD1" s="945"/>
      <c r="BE1" s="945"/>
      <c r="BF1" s="945"/>
      <c r="BG1" s="945"/>
      <c r="BH1" s="945"/>
      <c r="BI1" s="945"/>
      <c r="BJ1" s="945"/>
      <c r="BK1" s="945"/>
      <c r="BL1" s="945"/>
      <c r="BM1" s="945"/>
      <c r="BN1" s="945"/>
      <c r="BO1" s="945"/>
      <c r="BP1" s="945"/>
      <c r="BQ1" s="945"/>
      <c r="BR1" s="945"/>
      <c r="BS1" s="945"/>
      <c r="BT1" s="945"/>
      <c r="BU1" s="945"/>
      <c r="BV1" s="945"/>
      <c r="BW1" s="945"/>
      <c r="BX1" s="945"/>
      <c r="BY1" s="945"/>
      <c r="BZ1" s="945"/>
      <c r="CA1" s="945"/>
      <c r="CB1" s="945"/>
      <c r="CC1" s="945"/>
      <c r="CD1" s="945"/>
      <c r="CE1" s="945"/>
      <c r="CF1" s="945"/>
      <c r="CG1" s="945"/>
      <c r="CH1" s="945"/>
      <c r="CI1" s="945"/>
      <c r="CJ1" s="945"/>
      <c r="CK1" s="945"/>
      <c r="CL1" s="945"/>
      <c r="CM1" s="945"/>
      <c r="CN1" s="945"/>
      <c r="CO1" s="945"/>
      <c r="CP1" s="945"/>
      <c r="CQ1" s="945"/>
      <c r="CR1" s="945"/>
      <c r="CS1" s="945"/>
      <c r="CT1" s="945"/>
      <c r="CU1" s="945"/>
      <c r="CV1" s="945"/>
      <c r="CW1" s="945"/>
      <c r="CX1" s="945"/>
      <c r="CY1" s="945"/>
      <c r="CZ1" s="945"/>
      <c r="DA1" s="945"/>
      <c r="DB1" s="945"/>
      <c r="DC1" s="945"/>
      <c r="DD1" s="945"/>
      <c r="DE1" s="945"/>
      <c r="DF1" s="945"/>
      <c r="DG1" s="945"/>
      <c r="DH1" s="945"/>
      <c r="DI1" s="945"/>
      <c r="DJ1" s="945"/>
      <c r="DK1" s="945"/>
      <c r="DL1" s="945"/>
      <c r="DM1" s="945"/>
      <c r="DN1" s="945"/>
      <c r="DO1" s="945"/>
      <c r="DP1" s="945"/>
      <c r="DQ1" s="945"/>
      <c r="DR1" s="945"/>
      <c r="DS1" s="945"/>
      <c r="DT1" s="945"/>
      <c r="DU1" s="945"/>
      <c r="DV1" s="945"/>
      <c r="DW1" s="945"/>
      <c r="DX1" s="945"/>
      <c r="DY1" s="945"/>
      <c r="DZ1" s="945"/>
      <c r="EA1" s="945"/>
      <c r="EB1" s="945"/>
      <c r="EC1" s="945"/>
      <c r="ED1" s="945"/>
      <c r="EE1" s="945"/>
      <c r="EF1" s="945"/>
      <c r="EG1" s="945"/>
      <c r="EH1" s="945"/>
      <c r="EI1" s="945"/>
      <c r="EJ1" s="945"/>
      <c r="EK1" s="945"/>
      <c r="EL1" s="945"/>
      <c r="EM1" s="945"/>
      <c r="EN1" s="945"/>
      <c r="EO1" s="945"/>
      <c r="EP1" s="945"/>
      <c r="EQ1" s="945"/>
      <c r="ER1" s="945"/>
      <c r="ES1" s="945"/>
      <c r="ET1" s="945"/>
      <c r="EU1" s="945"/>
      <c r="EV1" s="945"/>
      <c r="EW1" s="945"/>
      <c r="EX1" s="945"/>
      <c r="EY1" s="945"/>
      <c r="EZ1" s="945"/>
      <c r="FA1" s="945"/>
      <c r="FB1" s="945"/>
      <c r="FC1" s="945"/>
      <c r="FD1" s="945"/>
      <c r="FE1" s="945"/>
      <c r="FF1" s="945"/>
      <c r="FG1" s="945"/>
      <c r="FH1" s="945"/>
      <c r="FI1" s="945"/>
      <c r="FJ1" s="945"/>
      <c r="FK1" s="945"/>
      <c r="FL1" s="945"/>
      <c r="FM1" s="945"/>
      <c r="FN1" s="945"/>
      <c r="FO1" s="945"/>
      <c r="FP1" s="945"/>
      <c r="FQ1" s="945"/>
      <c r="FR1" s="945"/>
      <c r="FS1" s="945"/>
      <c r="FT1" s="945"/>
      <c r="FU1" s="945"/>
      <c r="FV1" s="945"/>
      <c r="FW1" s="945"/>
      <c r="FX1" s="945"/>
      <c r="FY1" s="945"/>
      <c r="FZ1" s="945"/>
      <c r="GA1" s="945"/>
      <c r="GB1" s="945"/>
      <c r="GC1" s="945"/>
      <c r="GD1" s="945"/>
      <c r="GE1" s="945"/>
      <c r="GF1" s="945"/>
      <c r="GG1" s="945"/>
      <c r="GH1" s="945"/>
      <c r="GI1" s="945"/>
      <c r="GJ1" s="945"/>
      <c r="GK1" s="945"/>
      <c r="GL1" s="945"/>
      <c r="GM1" s="945"/>
      <c r="GN1" s="945"/>
      <c r="GO1" s="945"/>
      <c r="GP1" s="945"/>
      <c r="GQ1" s="945"/>
      <c r="GR1" s="945"/>
      <c r="GS1" s="945"/>
      <c r="GT1" s="945"/>
      <c r="GU1" s="945"/>
      <c r="GV1" s="945"/>
      <c r="GW1" s="945"/>
      <c r="GX1" s="945"/>
      <c r="GY1" s="945"/>
      <c r="GZ1" s="945"/>
      <c r="HA1" s="945"/>
      <c r="HB1" s="945"/>
      <c r="HC1" s="945"/>
      <c r="HD1" s="945"/>
      <c r="HE1" s="945"/>
      <c r="HF1" s="945"/>
      <c r="HG1" s="945"/>
      <c r="HH1" s="945"/>
      <c r="HI1" s="945"/>
      <c r="HJ1" s="945"/>
      <c r="HK1" s="945"/>
      <c r="HL1" s="945"/>
      <c r="HM1" s="945"/>
      <c r="HN1" s="945"/>
      <c r="HO1" s="945"/>
      <c r="HP1" s="945"/>
      <c r="HQ1" s="945"/>
      <c r="HR1" s="945"/>
      <c r="HS1" s="945"/>
      <c r="HT1" s="945"/>
      <c r="HU1" s="945"/>
      <c r="HV1" s="945"/>
      <c r="HW1" s="945"/>
      <c r="HX1" s="945"/>
      <c r="HY1" s="945"/>
      <c r="HZ1" s="945"/>
      <c r="IA1" s="945"/>
      <c r="IB1" s="945"/>
      <c r="IC1" s="945"/>
      <c r="ID1" s="945"/>
      <c r="IE1" s="945"/>
      <c r="IF1" s="945"/>
      <c r="IG1" s="945"/>
      <c r="IH1" s="945"/>
      <c r="II1" s="945"/>
      <c r="IJ1" s="945"/>
      <c r="IK1" s="945"/>
      <c r="IL1" s="945"/>
      <c r="IM1" s="945"/>
      <c r="IN1" s="945"/>
      <c r="IO1" s="945"/>
      <c r="IP1" s="945"/>
      <c r="IQ1" s="945"/>
      <c r="IR1" s="945"/>
      <c r="IS1" s="945"/>
      <c r="IT1" s="945"/>
      <c r="IU1" s="945"/>
      <c r="IV1" s="945"/>
      <c r="IW1" s="945"/>
      <c r="IX1" s="945"/>
      <c r="IY1" s="945"/>
      <c r="IZ1" s="945"/>
      <c r="JA1" s="945"/>
      <c r="JB1" s="945"/>
      <c r="JC1" s="945"/>
      <c r="JD1" s="945"/>
      <c r="JE1" s="945"/>
      <c r="JF1" s="945"/>
      <c r="JG1" s="945"/>
      <c r="JH1" s="945"/>
      <c r="JI1" s="945"/>
      <c r="JJ1" s="945"/>
      <c r="JK1" s="945"/>
      <c r="JL1" s="945"/>
      <c r="JM1" s="945"/>
      <c r="JN1" s="945"/>
      <c r="JO1" s="945"/>
      <c r="JP1" s="945"/>
      <c r="JQ1" s="945"/>
      <c r="JR1" s="945"/>
      <c r="JS1" s="945"/>
      <c r="JT1" s="945"/>
      <c r="JU1" s="945"/>
      <c r="JV1" s="945"/>
      <c r="JW1" s="945"/>
      <c r="JX1" s="945"/>
      <c r="JY1" s="945"/>
      <c r="JZ1" s="945"/>
      <c r="KA1" s="945"/>
      <c r="KB1" s="945"/>
      <c r="KC1" s="945"/>
      <c r="KD1" s="945"/>
      <c r="KE1" s="945"/>
      <c r="KF1" s="945"/>
      <c r="KG1" s="945"/>
      <c r="KH1" s="945"/>
      <c r="KI1" s="945"/>
      <c r="KJ1" s="945"/>
      <c r="KK1" s="945"/>
      <c r="KL1" s="945"/>
      <c r="KM1" s="945"/>
      <c r="KN1" s="945"/>
      <c r="KO1" s="945"/>
      <c r="KP1" s="945"/>
      <c r="KQ1" s="945"/>
      <c r="KR1" s="945"/>
      <c r="KS1" s="945"/>
      <c r="KT1" s="945"/>
      <c r="KU1" s="945"/>
      <c r="KV1" s="945"/>
      <c r="KW1" s="945"/>
      <c r="KX1" s="945"/>
      <c r="KY1" s="945"/>
      <c r="KZ1" s="945"/>
      <c r="LA1" s="945"/>
      <c r="LB1" s="945"/>
      <c r="LC1" s="945"/>
      <c r="LD1" s="945"/>
      <c r="LE1" s="945"/>
      <c r="LF1" s="945"/>
      <c r="LG1" s="945"/>
      <c r="LH1" s="945"/>
      <c r="LI1" s="945"/>
      <c r="LJ1" s="945"/>
      <c r="LK1" s="945"/>
      <c r="LL1" s="945"/>
      <c r="LM1" s="945"/>
      <c r="LN1" s="945"/>
      <c r="LO1" s="945"/>
      <c r="LP1" s="945"/>
      <c r="LQ1" s="945"/>
      <c r="LR1" s="945"/>
      <c r="LS1" s="945"/>
      <c r="LT1" s="945"/>
      <c r="LU1" s="945"/>
      <c r="LV1" s="945"/>
      <c r="LW1" s="945"/>
      <c r="LX1" s="945"/>
      <c r="LY1" s="945"/>
      <c r="LZ1" s="945"/>
      <c r="MA1" s="945"/>
      <c r="MB1" s="945"/>
      <c r="MC1" s="945"/>
      <c r="MD1" s="945"/>
      <c r="ME1" s="945"/>
      <c r="MF1" s="945"/>
      <c r="MG1" s="945"/>
      <c r="MH1" s="945"/>
      <c r="MI1" s="945"/>
      <c r="MJ1" s="945"/>
      <c r="MK1" s="945"/>
      <c r="ML1" s="945"/>
      <c r="MM1" s="945"/>
      <c r="MN1" s="945"/>
      <c r="MO1" s="945"/>
      <c r="MP1" s="945"/>
      <c r="MQ1" s="945"/>
      <c r="MR1" s="945"/>
      <c r="MS1" s="945"/>
      <c r="MT1" s="945"/>
      <c r="MU1" s="945"/>
      <c r="MV1" s="945"/>
      <c r="MW1" s="945"/>
      <c r="MX1" s="945"/>
      <c r="MY1" s="945"/>
      <c r="MZ1" s="945"/>
      <c r="NA1" s="945"/>
      <c r="NB1" s="945"/>
      <c r="NC1" s="945"/>
      <c r="ND1" s="945"/>
      <c r="NE1" s="945"/>
      <c r="NF1" s="945"/>
      <c r="NG1" s="945"/>
      <c r="NH1" s="945"/>
      <c r="NI1" s="945"/>
      <c r="NJ1" s="945"/>
      <c r="NK1" s="945"/>
      <c r="NL1" s="945"/>
      <c r="NM1" s="945"/>
      <c r="NN1" s="945"/>
      <c r="NO1" s="945"/>
      <c r="NP1" s="945"/>
      <c r="NQ1" s="945"/>
      <c r="NR1" s="945"/>
      <c r="NS1" s="945"/>
      <c r="NT1" s="945"/>
      <c r="NU1" s="945"/>
      <c r="NV1" s="945"/>
      <c r="NW1" s="945"/>
      <c r="NX1" s="945"/>
      <c r="NY1" s="945"/>
      <c r="NZ1" s="945"/>
      <c r="OA1" s="945"/>
      <c r="OB1" s="945"/>
      <c r="OC1" s="945"/>
      <c r="OD1" s="945"/>
      <c r="OE1" s="945"/>
      <c r="OF1" s="945"/>
      <c r="OG1" s="945"/>
      <c r="OH1" s="945"/>
      <c r="OI1" s="945"/>
      <c r="OJ1" s="945"/>
      <c r="OK1" s="945"/>
      <c r="OL1" s="945"/>
      <c r="OM1" s="945"/>
      <c r="ON1" s="945"/>
      <c r="OO1" s="945"/>
      <c r="OP1" s="945"/>
      <c r="OQ1" s="945"/>
      <c r="OR1" s="945"/>
      <c r="OS1" s="945"/>
      <c r="OT1" s="945"/>
      <c r="OU1" s="945"/>
      <c r="OV1" s="945"/>
      <c r="OW1" s="945"/>
      <c r="OX1" s="945"/>
      <c r="OY1" s="945"/>
      <c r="OZ1" s="945"/>
      <c r="PA1" s="945"/>
      <c r="PB1" s="945"/>
      <c r="PC1" s="945"/>
      <c r="PD1" s="945"/>
      <c r="PE1" s="945"/>
      <c r="PF1" s="945"/>
      <c r="PG1" s="945"/>
      <c r="PH1" s="945"/>
      <c r="PI1" s="945"/>
      <c r="PJ1" s="945"/>
      <c r="PK1" s="945"/>
      <c r="PL1" s="945"/>
      <c r="PM1" s="945"/>
      <c r="PN1" s="945"/>
      <c r="PO1" s="945"/>
      <c r="PP1" s="945"/>
      <c r="PQ1" s="945"/>
      <c r="PR1" s="945"/>
      <c r="PS1" s="945"/>
      <c r="PT1" s="945"/>
      <c r="PU1" s="945"/>
      <c r="PV1" s="945"/>
      <c r="PW1" s="945"/>
      <c r="PX1" s="945"/>
      <c r="PY1" s="945"/>
      <c r="PZ1" s="945"/>
      <c r="QA1" s="945"/>
      <c r="QB1" s="945"/>
      <c r="QC1" s="945"/>
      <c r="QD1" s="945"/>
      <c r="QE1" s="945"/>
      <c r="QF1" s="945"/>
      <c r="QG1" s="945"/>
      <c r="QH1" s="945"/>
      <c r="QI1" s="945"/>
      <c r="QJ1" s="945"/>
      <c r="QK1" s="945"/>
      <c r="QL1" s="945"/>
      <c r="QM1" s="945"/>
      <c r="QN1" s="945"/>
      <c r="QO1" s="945"/>
      <c r="QP1" s="945"/>
      <c r="QQ1" s="945"/>
      <c r="QR1" s="945"/>
      <c r="QS1" s="945"/>
      <c r="QT1" s="945"/>
      <c r="QU1" s="945"/>
      <c r="QV1" s="945"/>
      <c r="QW1" s="945"/>
      <c r="QX1" s="945"/>
      <c r="QY1" s="945"/>
      <c r="QZ1" s="945"/>
      <c r="RA1" s="945"/>
      <c r="RB1" s="945"/>
      <c r="RC1" s="945"/>
      <c r="RD1" s="945"/>
      <c r="RE1" s="945"/>
      <c r="RF1" s="945"/>
      <c r="RG1" s="945"/>
      <c r="RH1" s="945"/>
      <c r="RI1" s="945"/>
      <c r="RJ1" s="945"/>
      <c r="RK1" s="945"/>
      <c r="RL1" s="945"/>
      <c r="RM1" s="945"/>
      <c r="RN1" s="945"/>
      <c r="RO1" s="945"/>
      <c r="RP1" s="945"/>
      <c r="RQ1" s="945"/>
      <c r="RR1" s="945"/>
      <c r="RS1" s="945"/>
      <c r="RT1" s="945"/>
      <c r="RU1" s="945"/>
      <c r="RV1" s="945"/>
      <c r="RW1" s="945"/>
      <c r="RX1" s="945"/>
    </row>
    <row r="2" spans="1:492" s="5" customFormat="1" ht="32.15" customHeight="1">
      <c r="A2" s="414"/>
      <c r="B2" s="414"/>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5"/>
      <c r="AM2" s="1000" t="s">
        <v>445</v>
      </c>
      <c r="AN2" s="1000"/>
      <c r="AO2" s="1000"/>
      <c r="AP2" s="1000"/>
      <c r="AQ2" s="1000"/>
      <c r="AR2" s="1000"/>
      <c r="AS2" s="1000"/>
      <c r="AT2" s="1000"/>
      <c r="AU2" s="1000"/>
      <c r="AV2" s="1000"/>
      <c r="AW2" s="1000" t="s">
        <v>446</v>
      </c>
      <c r="AX2" s="1000"/>
      <c r="AY2" s="1000"/>
      <c r="AZ2" s="1000"/>
      <c r="BA2" s="1000"/>
      <c r="BB2" s="1000" t="s">
        <v>6</v>
      </c>
      <c r="BC2" s="1000"/>
      <c r="BD2" s="1000"/>
      <c r="BE2" s="1000"/>
      <c r="BF2" s="1000"/>
      <c r="BG2" s="1000" t="s">
        <v>7</v>
      </c>
      <c r="BH2" s="1000"/>
      <c r="BI2" s="1000"/>
      <c r="BJ2" s="1000"/>
      <c r="BK2" s="1000"/>
      <c r="BL2" s="1000" t="s">
        <v>8</v>
      </c>
      <c r="BM2" s="1000"/>
      <c r="BN2" s="1000"/>
      <c r="BO2" s="1000"/>
      <c r="BP2" s="1000"/>
      <c r="BQ2" s="1000" t="s">
        <v>9</v>
      </c>
      <c r="BR2" s="1000"/>
      <c r="BS2" s="1000"/>
      <c r="BT2" s="1000"/>
      <c r="BU2" s="1000"/>
      <c r="BV2" s="1000" t="s">
        <v>10</v>
      </c>
      <c r="BW2" s="1000"/>
      <c r="BX2" s="1000"/>
      <c r="BY2" s="1000"/>
      <c r="BZ2" s="1000"/>
    </row>
    <row r="3" spans="1:492" s="5" customFormat="1" ht="32.15" customHeight="1">
      <c r="A3" s="416"/>
      <c r="B3" s="416"/>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982" t="s">
        <v>447</v>
      </c>
      <c r="AN3" s="982"/>
      <c r="AO3" s="982"/>
      <c r="AP3" s="982"/>
      <c r="AQ3" s="982"/>
      <c r="AR3" s="982"/>
      <c r="AS3" s="982"/>
      <c r="AT3" s="982"/>
      <c r="AU3" s="982"/>
      <c r="AV3" s="982"/>
      <c r="AW3" s="982" t="s">
        <v>448</v>
      </c>
      <c r="AX3" s="982"/>
      <c r="AY3" s="982"/>
      <c r="AZ3" s="982"/>
      <c r="BA3" s="982"/>
      <c r="BB3" s="982" t="s">
        <v>15</v>
      </c>
      <c r="BC3" s="982"/>
      <c r="BD3" s="982"/>
      <c r="BE3" s="982"/>
      <c r="BF3" s="982"/>
      <c r="BG3" s="982" t="s">
        <v>16</v>
      </c>
      <c r="BH3" s="982"/>
      <c r="BI3" s="982"/>
      <c r="BJ3" s="982"/>
      <c r="BK3" s="982"/>
      <c r="BL3" s="982" t="s">
        <v>17</v>
      </c>
      <c r="BM3" s="982"/>
      <c r="BN3" s="982"/>
      <c r="BO3" s="982"/>
      <c r="BP3" s="982"/>
      <c r="BQ3" s="982" t="s">
        <v>18</v>
      </c>
      <c r="BR3" s="982"/>
      <c r="BS3" s="982"/>
      <c r="BT3" s="982"/>
      <c r="BU3" s="982"/>
      <c r="BV3" s="982" t="s">
        <v>19</v>
      </c>
      <c r="BW3" s="982"/>
      <c r="BX3" s="982"/>
      <c r="BY3" s="982"/>
      <c r="BZ3" s="982"/>
    </row>
    <row r="4" spans="1:492" s="5" customFormat="1" ht="16.5" customHeight="1">
      <c r="A4" s="544" t="s">
        <v>21</v>
      </c>
      <c r="B4" s="418" t="s">
        <v>21</v>
      </c>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19"/>
      <c r="AM4" s="554" t="s">
        <v>22</v>
      </c>
      <c r="AN4" s="420" t="s">
        <v>23</v>
      </c>
      <c r="AO4" s="421" t="s">
        <v>24</v>
      </c>
      <c r="AP4" s="420" t="s">
        <v>25</v>
      </c>
      <c r="AQ4" s="576" t="s">
        <v>449</v>
      </c>
      <c r="AR4" s="420"/>
      <c r="AS4" s="420"/>
      <c r="AT4" s="421"/>
      <c r="AU4" s="420"/>
      <c r="AV4" s="422"/>
      <c r="AW4" s="423" t="s">
        <v>22</v>
      </c>
      <c r="AX4" s="423" t="s">
        <v>23</v>
      </c>
      <c r="AY4" s="424" t="s">
        <v>24</v>
      </c>
      <c r="AZ4" s="423" t="s">
        <v>25</v>
      </c>
      <c r="BA4" s="420" t="s">
        <v>450</v>
      </c>
      <c r="BB4" s="423" t="s">
        <v>22</v>
      </c>
      <c r="BC4" s="423" t="s">
        <v>23</v>
      </c>
      <c r="BD4" s="424" t="s">
        <v>24</v>
      </c>
      <c r="BE4" s="423" t="s">
        <v>25</v>
      </c>
      <c r="BF4" s="420" t="s">
        <v>451</v>
      </c>
      <c r="BG4" s="423" t="s">
        <v>22</v>
      </c>
      <c r="BH4" s="423" t="s">
        <v>23</v>
      </c>
      <c r="BI4" s="424" t="s">
        <v>24</v>
      </c>
      <c r="BJ4" s="423" t="s">
        <v>25</v>
      </c>
      <c r="BK4" s="420" t="s">
        <v>452</v>
      </c>
      <c r="BL4" s="423" t="s">
        <v>22</v>
      </c>
      <c r="BM4" s="423" t="s">
        <v>23</v>
      </c>
      <c r="BN4" s="424" t="s">
        <v>24</v>
      </c>
      <c r="BO4" s="423" t="s">
        <v>25</v>
      </c>
      <c r="BP4" s="420" t="s">
        <v>31</v>
      </c>
      <c r="BQ4" s="423" t="s">
        <v>22</v>
      </c>
      <c r="BR4" s="423" t="s">
        <v>23</v>
      </c>
      <c r="BS4" s="424" t="s">
        <v>24</v>
      </c>
      <c r="BT4" s="423" t="s">
        <v>25</v>
      </c>
      <c r="BU4" s="420" t="s">
        <v>32</v>
      </c>
      <c r="BV4" s="423" t="s">
        <v>22</v>
      </c>
      <c r="BW4" s="423" t="s">
        <v>23</v>
      </c>
      <c r="BX4" s="424" t="s">
        <v>24</v>
      </c>
      <c r="BY4" s="423" t="s">
        <v>25</v>
      </c>
      <c r="BZ4" s="420" t="s">
        <v>32</v>
      </c>
    </row>
    <row r="5" spans="1:492" s="65" customFormat="1" ht="20.25" customHeight="1" thickBot="1">
      <c r="A5" s="545" t="s">
        <v>453</v>
      </c>
      <c r="B5" s="570" t="s">
        <v>454</v>
      </c>
      <c r="C5" s="428"/>
      <c r="D5" s="428"/>
      <c r="E5" s="428"/>
      <c r="F5" s="428"/>
      <c r="G5" s="428"/>
      <c r="H5" s="428"/>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555">
        <f>SUM(AM6:AM10)</f>
        <v>2345.9</v>
      </c>
      <c r="AN5" s="429">
        <f>SUM(AN6:AN10)</f>
        <v>2603.1999999999994</v>
      </c>
      <c r="AO5" s="429">
        <f>SUM(AO6:AO10)</f>
        <v>2735</v>
      </c>
      <c r="AP5" s="429">
        <f>SUM(AP6:AP10)</f>
        <v>3002.0000000000014</v>
      </c>
      <c r="AQ5" s="556">
        <f>SUM(AQ6:AQ10)</f>
        <v>10686.1</v>
      </c>
      <c r="AR5" s="429"/>
      <c r="AS5" s="429"/>
      <c r="AT5" s="429"/>
      <c r="AU5" s="429"/>
      <c r="AV5" s="430"/>
      <c r="AW5" s="429">
        <f t="shared" ref="AW5:AZ5" si="0">SUM(AW6:AW10)</f>
        <v>2791.6</v>
      </c>
      <c r="AX5" s="429">
        <f t="shared" si="0"/>
        <v>2923</v>
      </c>
      <c r="AY5" s="429">
        <f t="shared" si="0"/>
        <v>2892.4</v>
      </c>
      <c r="AZ5" s="429">
        <f t="shared" si="0"/>
        <v>3069.0999999999995</v>
      </c>
      <c r="BA5" s="551">
        <f>SUM(BA6:BA10)</f>
        <v>11676.099999999999</v>
      </c>
      <c r="BB5" s="555">
        <f t="shared" ref="BB5:BI5" si="1">SUM(BB6:BB10)</f>
        <v>2848.5</v>
      </c>
      <c r="BC5" s="429">
        <f t="shared" si="1"/>
        <v>2862.6999999999994</v>
      </c>
      <c r="BD5" s="429">
        <f t="shared" si="1"/>
        <v>3003.5000000000005</v>
      </c>
      <c r="BE5" s="429">
        <f t="shared" si="1"/>
        <v>3248.2000000000003</v>
      </c>
      <c r="BF5" s="556">
        <f>SUM(BF6:BF10)</f>
        <v>11962.9</v>
      </c>
      <c r="BG5" s="429">
        <f t="shared" si="1"/>
        <v>2987.3999999999996</v>
      </c>
      <c r="BH5" s="429">
        <f t="shared" si="1"/>
        <v>3159.7</v>
      </c>
      <c r="BI5" s="429">
        <f t="shared" si="1"/>
        <v>3031.9</v>
      </c>
      <c r="BJ5" s="429">
        <f>SUM(BJ6:BJ10)</f>
        <v>3265.0000000000005</v>
      </c>
      <c r="BK5" s="556">
        <f>SUM(BK6:BK10)</f>
        <v>12444.000000000002</v>
      </c>
      <c r="BL5" s="429">
        <f>SUM(BL6:BL10)</f>
        <v>2986.7000000000003</v>
      </c>
      <c r="BM5" s="429">
        <f>SUM(BM6:BM10)</f>
        <v>3228.1000000000004</v>
      </c>
      <c r="BN5" s="429">
        <f t="shared" ref="BN5" si="2">SUM(BN6:BN10)</f>
        <v>3270.9000000000005</v>
      </c>
      <c r="BO5" s="429">
        <f>SUM(BO6:BO10)</f>
        <v>3429.6</v>
      </c>
      <c r="BP5" s="556">
        <f>SUM(BP6:BP10)</f>
        <v>12915.3</v>
      </c>
      <c r="BQ5" s="429">
        <f>SUM(BQ6:BQ10)</f>
        <v>3199.3</v>
      </c>
      <c r="BR5" s="429">
        <f>SUM(BR6:BR10)</f>
        <v>3289.8</v>
      </c>
      <c r="BS5" s="429">
        <f t="shared" ref="BS5" si="3">SUM(BS6:BS10)</f>
        <v>3455.7</v>
      </c>
      <c r="BT5" s="429">
        <f>SUM(BT6:BT10)</f>
        <v>3681.5000000000005</v>
      </c>
      <c r="BU5" s="556">
        <f>SUM(BU6:BU10)</f>
        <v>13626.300000000001</v>
      </c>
      <c r="BV5" s="429">
        <f>SUM(BV6:BV10)</f>
        <v>3405</v>
      </c>
      <c r="BW5" s="429">
        <f>SUM(BW6:BW10)</f>
        <v>3454.2999999999997</v>
      </c>
      <c r="BX5" s="429">
        <f t="shared" ref="BX5" si="4">SUM(BX6:BX10)</f>
        <v>0</v>
      </c>
      <c r="BY5" s="429">
        <f>SUM(BY6:BY10)</f>
        <v>0</v>
      </c>
      <c r="BZ5" s="556">
        <f>SUM(BZ6:BZ10)</f>
        <v>6859.3</v>
      </c>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6" customFormat="1" ht="20.149999999999999" customHeight="1">
      <c r="A6" s="546" t="s">
        <v>455</v>
      </c>
      <c r="B6" s="571" t="s">
        <v>456</v>
      </c>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57">
        <v>2049.4</v>
      </c>
      <c r="AN6" s="527">
        <v>2247.4999999999995</v>
      </c>
      <c r="AO6" s="527">
        <v>2429.5</v>
      </c>
      <c r="AP6" s="527">
        <v>2504.3000000000011</v>
      </c>
      <c r="AQ6" s="558">
        <f>SUM(AM6:AP6)</f>
        <v>9230.7000000000007</v>
      </c>
      <c r="AR6" s="527"/>
      <c r="AS6" s="527"/>
      <c r="AT6" s="527"/>
      <c r="AU6" s="527"/>
      <c r="AV6" s="522"/>
      <c r="AW6" s="527">
        <v>2398.1999999999998</v>
      </c>
      <c r="AX6" s="527">
        <v>2468.8000000000002</v>
      </c>
      <c r="AY6" s="527">
        <v>2515.3000000000002</v>
      </c>
      <c r="AZ6" s="527">
        <v>2553.0999999999995</v>
      </c>
      <c r="BA6" s="533">
        <f>SUM(AW6:AZ6)</f>
        <v>9935.4</v>
      </c>
      <c r="BB6" s="557">
        <v>2453.4</v>
      </c>
      <c r="BC6" s="527">
        <v>2518.4999999999995</v>
      </c>
      <c r="BD6" s="527">
        <v>2590.3000000000002</v>
      </c>
      <c r="BE6" s="521">
        <v>2668.6</v>
      </c>
      <c r="BF6" s="558">
        <f>SUM(BB6:BE6)</f>
        <v>10230.799999999999</v>
      </c>
      <c r="BG6" s="527">
        <v>2551</v>
      </c>
      <c r="BH6" s="527">
        <v>2660.7</v>
      </c>
      <c r="BI6" s="527">
        <v>2592.3000000000002</v>
      </c>
      <c r="BJ6" s="521">
        <f>10454.7-SUM(BG6:BI6)</f>
        <v>2650.7000000000007</v>
      </c>
      <c r="BK6" s="558">
        <f>SUM(BG6:BJ6)</f>
        <v>10454.700000000001</v>
      </c>
      <c r="BL6" s="527">
        <v>2525.9</v>
      </c>
      <c r="BM6" s="521">
        <f>5196.8-BL6</f>
        <v>2670.9</v>
      </c>
      <c r="BN6" s="527">
        <f>7940.5-BM6-BL6</f>
        <v>2743.7000000000003</v>
      </c>
      <c r="BO6" s="521">
        <f>10681.6-BN6-BM6-BL6</f>
        <v>2741.1</v>
      </c>
      <c r="BP6" s="558">
        <f>SUM(BL6:BO6)</f>
        <v>10681.6</v>
      </c>
      <c r="BQ6" s="527">
        <v>2674.5</v>
      </c>
      <c r="BR6" s="521">
        <f>5374-BQ6</f>
        <v>2699.5</v>
      </c>
      <c r="BS6" s="527">
        <v>2644.6</v>
      </c>
      <c r="BT6" s="521">
        <v>2693.6000000000004</v>
      </c>
      <c r="BU6" s="558">
        <f>SUM(BQ6:BT6)</f>
        <v>10712.2</v>
      </c>
      <c r="BV6" s="527">
        <v>2575.5</v>
      </c>
      <c r="BW6" s="521">
        <v>2609.1999999999998</v>
      </c>
      <c r="BX6" s="527"/>
      <c r="BY6" s="521"/>
      <c r="BZ6" s="558">
        <f>SUM(BV6:BY6)</f>
        <v>5184.7</v>
      </c>
      <c r="CA6" s="535"/>
      <c r="CB6" s="944"/>
      <c r="CC6" s="527"/>
      <c r="CD6" s="535"/>
      <c r="CE6" s="535"/>
      <c r="CF6" s="535"/>
      <c r="CG6" s="535"/>
      <c r="CH6" s="535"/>
      <c r="CI6" s="535"/>
      <c r="CJ6" s="535"/>
      <c r="CK6" s="535"/>
      <c r="CL6" s="535"/>
      <c r="CM6" s="535"/>
      <c r="CN6" s="535"/>
      <c r="CO6" s="535"/>
      <c r="CP6" s="535"/>
      <c r="CQ6" s="535"/>
      <c r="CR6" s="535"/>
      <c r="CS6" s="535"/>
      <c r="CT6" s="535"/>
      <c r="CU6" s="535"/>
      <c r="CV6" s="535"/>
      <c r="CW6" s="535"/>
      <c r="CX6" s="535"/>
      <c r="CY6" s="535"/>
      <c r="CZ6" s="535"/>
      <c r="DA6" s="535"/>
      <c r="DB6" s="535"/>
      <c r="DC6" s="535"/>
      <c r="DD6" s="535"/>
      <c r="DE6" s="535"/>
      <c r="DF6" s="535"/>
      <c r="DG6" s="535"/>
      <c r="DH6" s="535"/>
      <c r="DI6" s="535"/>
      <c r="DJ6" s="535"/>
      <c r="DK6" s="535"/>
      <c r="DL6" s="535"/>
      <c r="DM6" s="535"/>
      <c r="DN6" s="535"/>
      <c r="DO6" s="535"/>
      <c r="DP6" s="535"/>
      <c r="DQ6" s="535"/>
      <c r="DR6" s="535"/>
      <c r="DS6" s="535"/>
      <c r="DT6" s="535"/>
      <c r="DU6" s="535"/>
      <c r="DV6" s="535"/>
      <c r="DW6" s="535"/>
      <c r="DX6" s="535"/>
      <c r="DY6" s="535"/>
      <c r="DZ6" s="535"/>
      <c r="EA6" s="535"/>
      <c r="EB6" s="535"/>
      <c r="EC6" s="535"/>
      <c r="ED6" s="535"/>
      <c r="EE6" s="535"/>
      <c r="EF6" s="535"/>
      <c r="EG6" s="535"/>
      <c r="EH6" s="535"/>
      <c r="EI6" s="535"/>
      <c r="EJ6" s="535"/>
      <c r="EK6" s="535"/>
      <c r="EL6" s="535"/>
      <c r="EM6" s="535"/>
      <c r="EN6" s="535"/>
      <c r="EO6" s="535"/>
      <c r="EP6" s="535"/>
      <c r="EQ6" s="535"/>
      <c r="ER6" s="535"/>
      <c r="ES6" s="535"/>
      <c r="ET6" s="535"/>
      <c r="EU6" s="535"/>
      <c r="EV6" s="535"/>
      <c r="EW6" s="535"/>
      <c r="EX6" s="535"/>
      <c r="EY6" s="535"/>
      <c r="EZ6" s="535"/>
      <c r="FA6" s="535"/>
      <c r="FB6" s="535"/>
      <c r="FC6" s="535"/>
      <c r="FD6" s="535"/>
      <c r="FE6" s="535"/>
      <c r="FF6" s="535"/>
      <c r="FG6" s="535"/>
      <c r="FH6" s="535"/>
      <c r="FI6" s="535"/>
      <c r="FJ6" s="535"/>
      <c r="FK6" s="535"/>
      <c r="FL6" s="535"/>
      <c r="FM6" s="535"/>
      <c r="FN6" s="535"/>
      <c r="FO6" s="535"/>
      <c r="FP6" s="535"/>
      <c r="FQ6" s="535"/>
      <c r="FR6" s="535"/>
      <c r="FS6" s="535"/>
      <c r="FT6" s="535"/>
      <c r="FU6" s="535"/>
      <c r="FV6" s="535"/>
      <c r="FW6" s="535"/>
      <c r="FX6" s="535"/>
      <c r="FY6" s="535"/>
      <c r="FZ6" s="535"/>
      <c r="GA6" s="535"/>
      <c r="GB6" s="535"/>
      <c r="GC6" s="535"/>
      <c r="GD6" s="535"/>
      <c r="GE6" s="535"/>
      <c r="GF6" s="535"/>
      <c r="GG6" s="535"/>
      <c r="GH6" s="535"/>
      <c r="GI6" s="535"/>
      <c r="GJ6" s="535"/>
      <c r="GK6" s="535"/>
      <c r="GL6" s="535"/>
      <c r="GM6" s="535"/>
      <c r="GN6" s="535"/>
      <c r="GO6" s="535"/>
      <c r="GP6" s="535"/>
      <c r="GQ6" s="535"/>
      <c r="GR6" s="535"/>
      <c r="GS6" s="535"/>
      <c r="GT6" s="535"/>
      <c r="GU6" s="535"/>
      <c r="GV6" s="535"/>
      <c r="GW6" s="535"/>
      <c r="GX6" s="535"/>
      <c r="GY6" s="535"/>
      <c r="GZ6" s="535"/>
      <c r="HA6" s="535"/>
      <c r="HB6" s="535"/>
      <c r="HC6" s="535"/>
      <c r="HD6" s="535"/>
      <c r="HE6" s="535"/>
      <c r="HF6" s="535"/>
      <c r="HG6" s="535"/>
      <c r="HH6" s="535"/>
      <c r="HI6" s="535"/>
      <c r="HJ6" s="535"/>
      <c r="HK6" s="535"/>
      <c r="HL6" s="535"/>
      <c r="HM6" s="535"/>
      <c r="HN6" s="535"/>
      <c r="HO6" s="535"/>
      <c r="HP6" s="535"/>
      <c r="HQ6" s="535"/>
      <c r="HR6" s="535"/>
      <c r="HS6" s="535"/>
      <c r="HT6" s="535"/>
      <c r="HU6" s="535"/>
      <c r="HV6" s="535"/>
      <c r="HW6" s="535"/>
      <c r="HX6" s="535"/>
      <c r="HY6" s="535"/>
      <c r="HZ6" s="535"/>
      <c r="IA6" s="535"/>
      <c r="IB6" s="535"/>
      <c r="IC6" s="535"/>
      <c r="ID6" s="535"/>
      <c r="IE6" s="535"/>
      <c r="IF6" s="535"/>
      <c r="IG6" s="535"/>
      <c r="IH6" s="535"/>
      <c r="II6" s="535"/>
      <c r="IJ6" s="535"/>
      <c r="IK6" s="535"/>
      <c r="IL6" s="535"/>
      <c r="IM6" s="535"/>
      <c r="IN6" s="535"/>
      <c r="IO6" s="535"/>
      <c r="IP6" s="535"/>
      <c r="IQ6" s="535"/>
      <c r="IR6" s="535"/>
      <c r="IS6" s="535"/>
      <c r="IT6" s="535"/>
      <c r="IU6" s="535"/>
      <c r="IV6" s="535"/>
      <c r="IW6" s="535"/>
      <c r="IX6" s="535"/>
      <c r="IY6" s="535"/>
      <c r="IZ6" s="535"/>
      <c r="JA6" s="535"/>
      <c r="JB6" s="535"/>
      <c r="JC6" s="535"/>
      <c r="JD6" s="535"/>
      <c r="JE6" s="535"/>
      <c r="JF6" s="535"/>
      <c r="JG6" s="535"/>
      <c r="JH6" s="535"/>
      <c r="JI6" s="535"/>
      <c r="JJ6" s="535"/>
      <c r="JK6" s="535"/>
      <c r="JL6" s="535"/>
      <c r="JM6" s="535"/>
      <c r="JN6" s="535"/>
      <c r="JO6" s="535"/>
      <c r="JP6" s="535"/>
      <c r="JQ6" s="535"/>
      <c r="JR6" s="535"/>
      <c r="JS6" s="535"/>
      <c r="JT6" s="535"/>
      <c r="JU6" s="535"/>
      <c r="JV6" s="535"/>
      <c r="JW6" s="535"/>
      <c r="JX6" s="535"/>
      <c r="JY6" s="535"/>
      <c r="JZ6" s="535"/>
      <c r="KA6" s="535"/>
      <c r="KB6" s="535"/>
      <c r="KC6" s="535"/>
      <c r="KD6" s="535"/>
      <c r="KE6" s="535"/>
      <c r="KF6" s="535"/>
      <c r="KG6" s="535"/>
      <c r="KH6" s="535"/>
      <c r="KI6" s="535"/>
      <c r="KJ6" s="535"/>
      <c r="KK6" s="535"/>
      <c r="KL6" s="535"/>
      <c r="KM6" s="535"/>
      <c r="KN6" s="535"/>
      <c r="KO6" s="535"/>
      <c r="KP6" s="535"/>
      <c r="KQ6" s="535"/>
      <c r="KR6" s="535"/>
      <c r="KS6" s="535"/>
      <c r="KT6" s="535"/>
      <c r="KU6" s="535"/>
      <c r="KV6" s="535"/>
      <c r="KW6" s="535"/>
      <c r="KX6" s="535"/>
      <c r="KY6" s="535"/>
      <c r="KZ6" s="535"/>
      <c r="LA6" s="535"/>
      <c r="LB6" s="535"/>
      <c r="LC6" s="535"/>
      <c r="LD6" s="535"/>
      <c r="LE6" s="535"/>
      <c r="LF6" s="535"/>
      <c r="LG6" s="535"/>
      <c r="LH6" s="535"/>
      <c r="LI6" s="535"/>
      <c r="LJ6" s="535"/>
      <c r="LK6" s="535"/>
      <c r="LL6" s="535"/>
      <c r="LM6" s="535"/>
      <c r="LN6" s="535"/>
      <c r="LO6" s="535"/>
      <c r="LP6" s="535"/>
      <c r="LQ6" s="535"/>
      <c r="LR6" s="535"/>
      <c r="LS6" s="535"/>
      <c r="LT6" s="535"/>
      <c r="LU6" s="535"/>
      <c r="LV6" s="535"/>
      <c r="LW6" s="535"/>
      <c r="LX6" s="535"/>
      <c r="LY6" s="535"/>
      <c r="LZ6" s="535"/>
      <c r="MA6" s="535"/>
      <c r="MB6" s="535"/>
      <c r="MC6" s="535"/>
      <c r="MD6" s="535"/>
      <c r="ME6" s="535"/>
      <c r="MF6" s="535"/>
      <c r="MG6" s="535"/>
      <c r="MH6" s="535"/>
      <c r="MI6" s="535"/>
      <c r="MJ6" s="535"/>
      <c r="MK6" s="535"/>
      <c r="ML6" s="535"/>
      <c r="MM6" s="535"/>
      <c r="MN6" s="535"/>
      <c r="MO6" s="535"/>
      <c r="MP6" s="535"/>
      <c r="MQ6" s="535"/>
      <c r="MR6" s="535"/>
      <c r="MS6" s="535"/>
      <c r="MT6" s="535"/>
      <c r="MU6" s="535"/>
      <c r="MV6" s="535"/>
      <c r="MW6" s="535"/>
      <c r="MX6" s="535"/>
      <c r="MY6" s="535"/>
      <c r="MZ6" s="535"/>
      <c r="NA6" s="535"/>
      <c r="NB6" s="535"/>
      <c r="NC6" s="535"/>
      <c r="ND6" s="535"/>
      <c r="NE6" s="535"/>
      <c r="NF6" s="535"/>
      <c r="NG6" s="535"/>
      <c r="NH6" s="535"/>
      <c r="NI6" s="535"/>
      <c r="NJ6" s="535"/>
      <c r="NK6" s="535"/>
      <c r="NL6" s="535"/>
      <c r="NM6" s="535"/>
      <c r="NN6" s="535"/>
      <c r="NO6" s="535"/>
      <c r="NP6" s="535"/>
      <c r="NQ6" s="535"/>
      <c r="NR6" s="535"/>
      <c r="NS6" s="535"/>
      <c r="NT6" s="535"/>
      <c r="NU6" s="535"/>
      <c r="NV6" s="535"/>
      <c r="NW6" s="535"/>
      <c r="NX6" s="535"/>
      <c r="NY6" s="535"/>
      <c r="NZ6" s="535"/>
      <c r="OA6" s="535"/>
      <c r="OB6" s="535"/>
      <c r="OC6" s="535"/>
      <c r="OD6" s="535"/>
      <c r="OE6" s="535"/>
      <c r="OF6" s="535"/>
      <c r="OG6" s="535"/>
      <c r="OH6" s="535"/>
      <c r="OI6" s="535"/>
      <c r="OJ6" s="535"/>
      <c r="OK6" s="535"/>
      <c r="OL6" s="535"/>
      <c r="OM6" s="535"/>
      <c r="ON6" s="535"/>
      <c r="OO6" s="535"/>
      <c r="OP6" s="535"/>
      <c r="OQ6" s="535"/>
      <c r="OR6" s="535"/>
      <c r="OS6" s="535"/>
      <c r="OT6" s="535"/>
      <c r="OU6" s="535"/>
      <c r="OV6" s="535"/>
      <c r="OW6" s="535"/>
      <c r="OX6" s="535"/>
      <c r="OY6" s="535"/>
      <c r="OZ6" s="535"/>
      <c r="PA6" s="535"/>
      <c r="PB6" s="535"/>
      <c r="PC6" s="535"/>
      <c r="PD6" s="535"/>
      <c r="PE6" s="535"/>
      <c r="PF6" s="535"/>
      <c r="PG6" s="535"/>
      <c r="PH6" s="535"/>
      <c r="PI6" s="535"/>
      <c r="PJ6" s="535"/>
      <c r="PK6" s="535"/>
      <c r="PL6" s="535"/>
      <c r="PM6" s="535"/>
      <c r="PN6" s="535"/>
      <c r="PO6" s="535"/>
      <c r="PP6" s="535"/>
      <c r="PQ6" s="535"/>
      <c r="PR6" s="535"/>
      <c r="PS6" s="535"/>
      <c r="PT6" s="535"/>
      <c r="PU6" s="535"/>
      <c r="PV6" s="535"/>
      <c r="PW6" s="535"/>
      <c r="PX6" s="535"/>
      <c r="PY6" s="535"/>
      <c r="PZ6" s="535"/>
      <c r="QA6" s="535"/>
      <c r="QB6" s="535"/>
      <c r="QC6" s="535"/>
      <c r="QD6" s="535"/>
      <c r="QE6" s="535"/>
      <c r="QF6" s="535"/>
      <c r="QG6" s="535"/>
      <c r="QH6" s="535"/>
      <c r="QI6" s="535"/>
      <c r="QJ6" s="535"/>
      <c r="QK6" s="535"/>
      <c r="QL6" s="535"/>
      <c r="QM6" s="535"/>
      <c r="QN6" s="535"/>
      <c r="QO6" s="535"/>
      <c r="QP6" s="535"/>
      <c r="QQ6" s="535"/>
      <c r="QR6" s="535"/>
      <c r="QS6" s="535"/>
      <c r="QT6" s="535"/>
      <c r="QU6" s="535"/>
      <c r="QV6" s="535"/>
      <c r="QW6" s="535"/>
      <c r="QX6" s="535"/>
      <c r="QY6" s="535"/>
      <c r="QZ6" s="535"/>
      <c r="RA6" s="535"/>
      <c r="RB6" s="535"/>
      <c r="RC6" s="535"/>
      <c r="RD6" s="535"/>
      <c r="RE6" s="535"/>
      <c r="RF6" s="535"/>
      <c r="RG6" s="535"/>
      <c r="RH6" s="535"/>
      <c r="RI6" s="535"/>
      <c r="RJ6" s="535"/>
      <c r="RK6" s="535"/>
      <c r="RL6" s="535"/>
      <c r="RM6" s="535"/>
      <c r="RN6" s="535"/>
      <c r="RO6" s="535"/>
      <c r="RP6" s="535"/>
      <c r="RQ6" s="535"/>
      <c r="RR6" s="535"/>
      <c r="RS6" s="535"/>
      <c r="RT6" s="535"/>
      <c r="RU6" s="535"/>
      <c r="RV6" s="535"/>
      <c r="RW6" s="535"/>
      <c r="RX6" s="535"/>
    </row>
    <row r="7" spans="1:492" s="536" customFormat="1" ht="20.149999999999999" customHeight="1">
      <c r="A7" s="546" t="s">
        <v>457</v>
      </c>
      <c r="B7" s="571" t="s">
        <v>458</v>
      </c>
      <c r="C7" s="526"/>
      <c r="D7" s="526"/>
      <c r="E7" s="526"/>
      <c r="F7" s="526"/>
      <c r="G7" s="526"/>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57">
        <v>349.6</v>
      </c>
      <c r="AN7" s="527">
        <v>412.69999999999993</v>
      </c>
      <c r="AO7" s="527">
        <v>375.20000000000005</v>
      </c>
      <c r="AP7" s="527">
        <v>558.40000000000009</v>
      </c>
      <c r="AQ7" s="558">
        <f t="shared" ref="AQ7:AQ10" si="5">SUM(AM7:AP7)</f>
        <v>1695.9</v>
      </c>
      <c r="AR7" s="527"/>
      <c r="AS7" s="527"/>
      <c r="AT7" s="527"/>
      <c r="AU7" s="527"/>
      <c r="AV7" s="522"/>
      <c r="AW7" s="527">
        <v>454.6</v>
      </c>
      <c r="AX7" s="527">
        <v>520.19999999999993</v>
      </c>
      <c r="AY7" s="527">
        <v>440.70000000000005</v>
      </c>
      <c r="AZ7" s="527">
        <v>582.40000000000009</v>
      </c>
      <c r="BA7" s="533">
        <f t="shared" ref="BA7:BA10" si="6">SUM(AW7:AZ7)</f>
        <v>1997.9</v>
      </c>
      <c r="BB7" s="557">
        <v>460.6</v>
      </c>
      <c r="BC7" s="527">
        <v>412.19999999999993</v>
      </c>
      <c r="BD7" s="527">
        <v>481.90000000000009</v>
      </c>
      <c r="BE7" s="521">
        <v>652.20000000000005</v>
      </c>
      <c r="BF7" s="558">
        <f t="shared" ref="BF7:BF10" si="7">SUM(BB7:BE7)</f>
        <v>2006.9</v>
      </c>
      <c r="BG7" s="527">
        <v>507.2</v>
      </c>
      <c r="BH7" s="527">
        <v>570</v>
      </c>
      <c r="BI7" s="527">
        <v>499.50000000000006</v>
      </c>
      <c r="BJ7" s="521">
        <f>2264.1-SUM(BG7:BI7)</f>
        <v>687.39999999999986</v>
      </c>
      <c r="BK7" s="558">
        <f t="shared" ref="BK7:BK10" si="8">SUM(BG7:BJ7)</f>
        <v>2264.1</v>
      </c>
      <c r="BL7" s="527">
        <v>533.5</v>
      </c>
      <c r="BM7" s="521">
        <f>1140-BL7</f>
        <v>606.5</v>
      </c>
      <c r="BN7" s="527">
        <f>1693.5-BM7-BL7</f>
        <v>553.5</v>
      </c>
      <c r="BO7" s="521">
        <f>2424.2-BN7-BM7-BL7</f>
        <v>730.69999999999982</v>
      </c>
      <c r="BP7" s="558">
        <f t="shared" ref="BP7:BP10" si="9">SUM(BL7:BO7)</f>
        <v>2424.1999999999998</v>
      </c>
      <c r="BQ7" s="527">
        <v>567.9</v>
      </c>
      <c r="BR7" s="521">
        <f>1206.7-BQ7</f>
        <v>638.80000000000007</v>
      </c>
      <c r="BS7" s="527">
        <v>559.69999999999993</v>
      </c>
      <c r="BT7" s="521">
        <v>703.59999999999991</v>
      </c>
      <c r="BU7" s="558">
        <f t="shared" ref="BU7:BU10" si="10">SUM(BQ7:BT7)</f>
        <v>2470</v>
      </c>
      <c r="BV7" s="527">
        <v>585.29999999999995</v>
      </c>
      <c r="BW7" s="521">
        <v>663</v>
      </c>
      <c r="BX7" s="527"/>
      <c r="BY7" s="521"/>
      <c r="BZ7" s="558">
        <f t="shared" ref="BZ7:BZ10" si="11">SUM(BV7:BY7)</f>
        <v>1248.3</v>
      </c>
      <c r="CA7" s="535"/>
      <c r="CB7" s="944"/>
      <c r="CC7" s="527"/>
      <c r="CD7" s="535"/>
      <c r="CE7" s="535"/>
      <c r="CF7" s="535"/>
      <c r="CG7" s="535"/>
      <c r="CH7" s="535"/>
      <c r="CI7" s="535"/>
      <c r="CJ7" s="535"/>
      <c r="CK7" s="535"/>
      <c r="CL7" s="535"/>
      <c r="CM7" s="535"/>
      <c r="CN7" s="535"/>
      <c r="CO7" s="535"/>
      <c r="CP7" s="535"/>
      <c r="CQ7" s="535"/>
      <c r="CR7" s="535"/>
      <c r="CS7" s="535"/>
      <c r="CT7" s="535"/>
      <c r="CU7" s="535"/>
      <c r="CV7" s="535"/>
      <c r="CW7" s="535"/>
      <c r="CX7" s="535"/>
      <c r="CY7" s="535"/>
      <c r="CZ7" s="535"/>
      <c r="DA7" s="535"/>
      <c r="DB7" s="535"/>
      <c r="DC7" s="535"/>
      <c r="DD7" s="535"/>
      <c r="DE7" s="535"/>
      <c r="DF7" s="535"/>
      <c r="DG7" s="535"/>
      <c r="DH7" s="535"/>
      <c r="DI7" s="535"/>
      <c r="DJ7" s="535"/>
      <c r="DK7" s="535"/>
      <c r="DL7" s="535"/>
      <c r="DM7" s="535"/>
      <c r="DN7" s="535"/>
      <c r="DO7" s="535"/>
      <c r="DP7" s="535"/>
      <c r="DQ7" s="535"/>
      <c r="DR7" s="535"/>
      <c r="DS7" s="535"/>
      <c r="DT7" s="535"/>
      <c r="DU7" s="535"/>
      <c r="DV7" s="535"/>
      <c r="DW7" s="535"/>
      <c r="DX7" s="535"/>
      <c r="DY7" s="535"/>
      <c r="DZ7" s="535"/>
      <c r="EA7" s="535"/>
      <c r="EB7" s="535"/>
      <c r="EC7" s="535"/>
      <c r="ED7" s="535"/>
      <c r="EE7" s="535"/>
      <c r="EF7" s="535"/>
      <c r="EG7" s="535"/>
      <c r="EH7" s="535"/>
      <c r="EI7" s="535"/>
      <c r="EJ7" s="535"/>
      <c r="EK7" s="535"/>
      <c r="EL7" s="535"/>
      <c r="EM7" s="535"/>
      <c r="EN7" s="535"/>
      <c r="EO7" s="535"/>
      <c r="EP7" s="535"/>
      <c r="EQ7" s="535"/>
      <c r="ER7" s="535"/>
      <c r="ES7" s="535"/>
      <c r="ET7" s="535"/>
      <c r="EU7" s="535"/>
      <c r="EV7" s="535"/>
      <c r="EW7" s="535"/>
      <c r="EX7" s="535"/>
      <c r="EY7" s="535"/>
      <c r="EZ7" s="535"/>
      <c r="FA7" s="535"/>
      <c r="FB7" s="535"/>
      <c r="FC7" s="535"/>
      <c r="FD7" s="535"/>
      <c r="FE7" s="535"/>
      <c r="FF7" s="535"/>
      <c r="FG7" s="535"/>
      <c r="FH7" s="535"/>
      <c r="FI7" s="535"/>
      <c r="FJ7" s="535"/>
      <c r="FK7" s="535"/>
      <c r="FL7" s="535"/>
      <c r="FM7" s="535"/>
      <c r="FN7" s="535"/>
      <c r="FO7" s="535"/>
      <c r="FP7" s="535"/>
      <c r="FQ7" s="535"/>
      <c r="FR7" s="535"/>
      <c r="FS7" s="535"/>
      <c r="FT7" s="535"/>
      <c r="FU7" s="535"/>
      <c r="FV7" s="535"/>
      <c r="FW7" s="535"/>
      <c r="FX7" s="535"/>
      <c r="FY7" s="535"/>
      <c r="FZ7" s="535"/>
      <c r="GA7" s="535"/>
      <c r="GB7" s="535"/>
      <c r="GC7" s="535"/>
      <c r="GD7" s="535"/>
      <c r="GE7" s="535"/>
      <c r="GF7" s="535"/>
      <c r="GG7" s="535"/>
      <c r="GH7" s="535"/>
      <c r="GI7" s="535"/>
      <c r="GJ7" s="535"/>
      <c r="GK7" s="535"/>
      <c r="GL7" s="535"/>
      <c r="GM7" s="535"/>
      <c r="GN7" s="535"/>
      <c r="GO7" s="535"/>
      <c r="GP7" s="535"/>
      <c r="GQ7" s="535"/>
      <c r="GR7" s="535"/>
      <c r="GS7" s="535"/>
      <c r="GT7" s="535"/>
      <c r="GU7" s="535"/>
      <c r="GV7" s="535"/>
      <c r="GW7" s="535"/>
      <c r="GX7" s="535"/>
      <c r="GY7" s="535"/>
      <c r="GZ7" s="535"/>
      <c r="HA7" s="535"/>
      <c r="HB7" s="535"/>
      <c r="HC7" s="535"/>
      <c r="HD7" s="535"/>
      <c r="HE7" s="535"/>
      <c r="HF7" s="535"/>
      <c r="HG7" s="535"/>
      <c r="HH7" s="535"/>
      <c r="HI7" s="535"/>
      <c r="HJ7" s="535"/>
      <c r="HK7" s="535"/>
      <c r="HL7" s="535"/>
      <c r="HM7" s="535"/>
      <c r="HN7" s="535"/>
      <c r="HO7" s="535"/>
      <c r="HP7" s="535"/>
      <c r="HQ7" s="535"/>
      <c r="HR7" s="535"/>
      <c r="HS7" s="535"/>
      <c r="HT7" s="535"/>
      <c r="HU7" s="535"/>
      <c r="HV7" s="535"/>
      <c r="HW7" s="535"/>
      <c r="HX7" s="535"/>
      <c r="HY7" s="535"/>
      <c r="HZ7" s="535"/>
      <c r="IA7" s="535"/>
      <c r="IB7" s="535"/>
      <c r="IC7" s="535"/>
      <c r="ID7" s="535"/>
      <c r="IE7" s="535"/>
      <c r="IF7" s="535"/>
      <c r="IG7" s="535"/>
      <c r="IH7" s="535"/>
      <c r="II7" s="535"/>
      <c r="IJ7" s="535"/>
      <c r="IK7" s="535"/>
      <c r="IL7" s="535"/>
      <c r="IM7" s="535"/>
      <c r="IN7" s="535"/>
      <c r="IO7" s="535"/>
      <c r="IP7" s="535"/>
      <c r="IQ7" s="535"/>
      <c r="IR7" s="535"/>
      <c r="IS7" s="535"/>
      <c r="IT7" s="535"/>
      <c r="IU7" s="535"/>
      <c r="IV7" s="535"/>
      <c r="IW7" s="535"/>
      <c r="IX7" s="535"/>
      <c r="IY7" s="535"/>
      <c r="IZ7" s="535"/>
      <c r="JA7" s="535"/>
      <c r="JB7" s="535"/>
      <c r="JC7" s="535"/>
      <c r="JD7" s="535"/>
      <c r="JE7" s="535"/>
      <c r="JF7" s="535"/>
      <c r="JG7" s="535"/>
      <c r="JH7" s="535"/>
      <c r="JI7" s="535"/>
      <c r="JJ7" s="535"/>
      <c r="JK7" s="535"/>
      <c r="JL7" s="535"/>
      <c r="JM7" s="535"/>
      <c r="JN7" s="535"/>
      <c r="JO7" s="535"/>
      <c r="JP7" s="535"/>
      <c r="JQ7" s="535"/>
      <c r="JR7" s="535"/>
      <c r="JS7" s="535"/>
      <c r="JT7" s="535"/>
      <c r="JU7" s="535"/>
      <c r="JV7" s="535"/>
      <c r="JW7" s="535"/>
      <c r="JX7" s="535"/>
      <c r="JY7" s="535"/>
      <c r="JZ7" s="535"/>
      <c r="KA7" s="535"/>
      <c r="KB7" s="535"/>
      <c r="KC7" s="535"/>
      <c r="KD7" s="535"/>
      <c r="KE7" s="535"/>
      <c r="KF7" s="535"/>
      <c r="KG7" s="535"/>
      <c r="KH7" s="535"/>
      <c r="KI7" s="535"/>
      <c r="KJ7" s="535"/>
      <c r="KK7" s="535"/>
      <c r="KL7" s="535"/>
      <c r="KM7" s="535"/>
      <c r="KN7" s="535"/>
      <c r="KO7" s="535"/>
      <c r="KP7" s="535"/>
      <c r="KQ7" s="535"/>
      <c r="KR7" s="535"/>
      <c r="KS7" s="535"/>
      <c r="KT7" s="535"/>
      <c r="KU7" s="535"/>
      <c r="KV7" s="535"/>
      <c r="KW7" s="535"/>
      <c r="KX7" s="535"/>
      <c r="KY7" s="535"/>
      <c r="KZ7" s="535"/>
      <c r="LA7" s="535"/>
      <c r="LB7" s="535"/>
      <c r="LC7" s="535"/>
      <c r="LD7" s="535"/>
      <c r="LE7" s="535"/>
      <c r="LF7" s="535"/>
      <c r="LG7" s="535"/>
      <c r="LH7" s="535"/>
      <c r="LI7" s="535"/>
      <c r="LJ7" s="535"/>
      <c r="LK7" s="535"/>
      <c r="LL7" s="535"/>
      <c r="LM7" s="535"/>
      <c r="LN7" s="535"/>
      <c r="LO7" s="535"/>
      <c r="LP7" s="535"/>
      <c r="LQ7" s="535"/>
      <c r="LR7" s="535"/>
      <c r="LS7" s="535"/>
      <c r="LT7" s="535"/>
      <c r="LU7" s="535"/>
      <c r="LV7" s="535"/>
      <c r="LW7" s="535"/>
      <c r="LX7" s="535"/>
      <c r="LY7" s="535"/>
      <c r="LZ7" s="535"/>
      <c r="MA7" s="535"/>
      <c r="MB7" s="535"/>
      <c r="MC7" s="535"/>
      <c r="MD7" s="535"/>
      <c r="ME7" s="535"/>
      <c r="MF7" s="535"/>
      <c r="MG7" s="535"/>
      <c r="MH7" s="535"/>
      <c r="MI7" s="535"/>
      <c r="MJ7" s="535"/>
      <c r="MK7" s="535"/>
      <c r="ML7" s="535"/>
      <c r="MM7" s="535"/>
      <c r="MN7" s="535"/>
      <c r="MO7" s="535"/>
      <c r="MP7" s="535"/>
      <c r="MQ7" s="535"/>
      <c r="MR7" s="535"/>
      <c r="MS7" s="535"/>
      <c r="MT7" s="535"/>
      <c r="MU7" s="535"/>
      <c r="MV7" s="535"/>
      <c r="MW7" s="535"/>
      <c r="MX7" s="535"/>
      <c r="MY7" s="535"/>
      <c r="MZ7" s="535"/>
      <c r="NA7" s="535"/>
      <c r="NB7" s="535"/>
      <c r="NC7" s="535"/>
      <c r="ND7" s="535"/>
      <c r="NE7" s="535"/>
      <c r="NF7" s="535"/>
      <c r="NG7" s="535"/>
      <c r="NH7" s="535"/>
      <c r="NI7" s="535"/>
      <c r="NJ7" s="535"/>
      <c r="NK7" s="535"/>
      <c r="NL7" s="535"/>
      <c r="NM7" s="535"/>
      <c r="NN7" s="535"/>
      <c r="NO7" s="535"/>
      <c r="NP7" s="535"/>
      <c r="NQ7" s="535"/>
      <c r="NR7" s="535"/>
      <c r="NS7" s="535"/>
      <c r="NT7" s="535"/>
      <c r="NU7" s="535"/>
      <c r="NV7" s="535"/>
      <c r="NW7" s="535"/>
      <c r="NX7" s="535"/>
      <c r="NY7" s="535"/>
      <c r="NZ7" s="535"/>
      <c r="OA7" s="535"/>
      <c r="OB7" s="535"/>
      <c r="OC7" s="535"/>
      <c r="OD7" s="535"/>
      <c r="OE7" s="535"/>
      <c r="OF7" s="535"/>
      <c r="OG7" s="535"/>
      <c r="OH7" s="535"/>
      <c r="OI7" s="535"/>
      <c r="OJ7" s="535"/>
      <c r="OK7" s="535"/>
      <c r="OL7" s="535"/>
      <c r="OM7" s="535"/>
      <c r="ON7" s="535"/>
      <c r="OO7" s="535"/>
      <c r="OP7" s="535"/>
      <c r="OQ7" s="535"/>
      <c r="OR7" s="535"/>
      <c r="OS7" s="535"/>
      <c r="OT7" s="535"/>
      <c r="OU7" s="535"/>
      <c r="OV7" s="535"/>
      <c r="OW7" s="535"/>
      <c r="OX7" s="535"/>
      <c r="OY7" s="535"/>
      <c r="OZ7" s="535"/>
      <c r="PA7" s="535"/>
      <c r="PB7" s="535"/>
      <c r="PC7" s="535"/>
      <c r="PD7" s="535"/>
      <c r="PE7" s="535"/>
      <c r="PF7" s="535"/>
      <c r="PG7" s="535"/>
      <c r="PH7" s="535"/>
      <c r="PI7" s="535"/>
      <c r="PJ7" s="535"/>
      <c r="PK7" s="535"/>
      <c r="PL7" s="535"/>
      <c r="PM7" s="535"/>
      <c r="PN7" s="535"/>
      <c r="PO7" s="535"/>
      <c r="PP7" s="535"/>
      <c r="PQ7" s="535"/>
      <c r="PR7" s="535"/>
      <c r="PS7" s="535"/>
      <c r="PT7" s="535"/>
      <c r="PU7" s="535"/>
      <c r="PV7" s="535"/>
      <c r="PW7" s="535"/>
      <c r="PX7" s="535"/>
      <c r="PY7" s="535"/>
      <c r="PZ7" s="535"/>
      <c r="QA7" s="535"/>
      <c r="QB7" s="535"/>
      <c r="QC7" s="535"/>
      <c r="QD7" s="535"/>
      <c r="QE7" s="535"/>
      <c r="QF7" s="535"/>
      <c r="QG7" s="535"/>
      <c r="QH7" s="535"/>
      <c r="QI7" s="535"/>
      <c r="QJ7" s="535"/>
      <c r="QK7" s="535"/>
      <c r="QL7" s="535"/>
      <c r="QM7" s="535"/>
      <c r="QN7" s="535"/>
      <c r="QO7" s="535"/>
      <c r="QP7" s="535"/>
      <c r="QQ7" s="535"/>
      <c r="QR7" s="535"/>
      <c r="QS7" s="535"/>
      <c r="QT7" s="535"/>
      <c r="QU7" s="535"/>
      <c r="QV7" s="535"/>
      <c r="QW7" s="535"/>
      <c r="QX7" s="535"/>
      <c r="QY7" s="535"/>
      <c r="QZ7" s="535"/>
      <c r="RA7" s="535"/>
      <c r="RB7" s="535"/>
      <c r="RC7" s="535"/>
      <c r="RD7" s="535"/>
      <c r="RE7" s="535"/>
      <c r="RF7" s="535"/>
      <c r="RG7" s="535"/>
      <c r="RH7" s="535"/>
      <c r="RI7" s="535"/>
      <c r="RJ7" s="535"/>
      <c r="RK7" s="535"/>
      <c r="RL7" s="535"/>
      <c r="RM7" s="535"/>
      <c r="RN7" s="535"/>
      <c r="RO7" s="535"/>
      <c r="RP7" s="535"/>
      <c r="RQ7" s="535"/>
      <c r="RR7" s="535"/>
      <c r="RS7" s="535"/>
      <c r="RT7" s="535"/>
      <c r="RU7" s="535"/>
      <c r="RV7" s="535"/>
      <c r="RW7" s="535"/>
      <c r="RX7" s="535"/>
    </row>
    <row r="8" spans="1:492" s="536" customFormat="1" ht="20.149999999999999" customHeight="1">
      <c r="A8" s="546" t="s">
        <v>459</v>
      </c>
      <c r="B8" s="571" t="s">
        <v>460</v>
      </c>
      <c r="C8" s="526"/>
      <c r="D8" s="526"/>
      <c r="E8" s="526"/>
      <c r="F8" s="526"/>
      <c r="G8" s="526"/>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57"/>
      <c r="AN8" s="527"/>
      <c r="AO8" s="527"/>
      <c r="AP8" s="527"/>
      <c r="AQ8" s="558"/>
      <c r="AR8" s="527"/>
      <c r="AS8" s="527"/>
      <c r="AT8" s="527"/>
      <c r="AU8" s="527"/>
      <c r="AV8" s="522"/>
      <c r="AW8" s="527"/>
      <c r="AX8" s="527"/>
      <c r="AY8" s="527"/>
      <c r="AZ8" s="527"/>
      <c r="BA8" s="533"/>
      <c r="BB8" s="557"/>
      <c r="BC8" s="527"/>
      <c r="BD8" s="527"/>
      <c r="BE8" s="521"/>
      <c r="BF8" s="558"/>
      <c r="BG8" s="527"/>
      <c r="BH8" s="527"/>
      <c r="BI8" s="527"/>
      <c r="BJ8" s="521"/>
      <c r="BK8" s="558"/>
      <c r="BL8" s="527"/>
      <c r="BM8" s="521">
        <v>44.3</v>
      </c>
      <c r="BN8" s="527">
        <f>118.1-BM8-BL8</f>
        <v>73.8</v>
      </c>
      <c r="BO8" s="521">
        <f>183.4-BN8-BM8</f>
        <v>65.300000000000011</v>
      </c>
      <c r="BP8" s="558">
        <f t="shared" si="9"/>
        <v>183.4</v>
      </c>
      <c r="BQ8" s="527">
        <v>44.8</v>
      </c>
      <c r="BR8" s="521">
        <f>83.8-BQ8</f>
        <v>39</v>
      </c>
      <c r="BS8" s="527">
        <v>40.1</v>
      </c>
      <c r="BT8" s="521">
        <v>58.299999999999983</v>
      </c>
      <c r="BU8" s="558">
        <f t="shared" si="10"/>
        <v>182.2</v>
      </c>
      <c r="BV8" s="527">
        <v>40.200000000000003</v>
      </c>
      <c r="BW8" s="521">
        <v>33.899999999999991</v>
      </c>
      <c r="BX8" s="527"/>
      <c r="BY8" s="521"/>
      <c r="BZ8" s="558">
        <f t="shared" si="11"/>
        <v>74.099999999999994</v>
      </c>
      <c r="CA8" s="535"/>
      <c r="CB8" s="944"/>
      <c r="CC8" s="527"/>
      <c r="CD8" s="535"/>
      <c r="CE8" s="535"/>
      <c r="CF8" s="535"/>
      <c r="CG8" s="535"/>
      <c r="CH8" s="535"/>
      <c r="CI8" s="535"/>
      <c r="CJ8" s="535"/>
      <c r="CK8" s="535"/>
      <c r="CL8" s="535"/>
      <c r="CM8" s="535"/>
      <c r="CN8" s="535"/>
      <c r="CO8" s="535"/>
      <c r="CP8" s="535"/>
      <c r="CQ8" s="535"/>
      <c r="CR8" s="535"/>
      <c r="CS8" s="535"/>
      <c r="CT8" s="535"/>
      <c r="CU8" s="535"/>
      <c r="CV8" s="535"/>
      <c r="CW8" s="535"/>
      <c r="CX8" s="535"/>
      <c r="CY8" s="535"/>
      <c r="CZ8" s="535"/>
      <c r="DA8" s="535"/>
      <c r="DB8" s="535"/>
      <c r="DC8" s="535"/>
      <c r="DD8" s="535"/>
      <c r="DE8" s="535"/>
      <c r="DF8" s="535"/>
      <c r="DG8" s="535"/>
      <c r="DH8" s="535"/>
      <c r="DI8" s="535"/>
      <c r="DJ8" s="535"/>
      <c r="DK8" s="535"/>
      <c r="DL8" s="535"/>
      <c r="DM8" s="535"/>
      <c r="DN8" s="535"/>
      <c r="DO8" s="535"/>
      <c r="DP8" s="535"/>
      <c r="DQ8" s="535"/>
      <c r="DR8" s="535"/>
      <c r="DS8" s="535"/>
      <c r="DT8" s="535"/>
      <c r="DU8" s="535"/>
      <c r="DV8" s="535"/>
      <c r="DW8" s="535"/>
      <c r="DX8" s="535"/>
      <c r="DY8" s="535"/>
      <c r="DZ8" s="535"/>
      <c r="EA8" s="535"/>
      <c r="EB8" s="535"/>
      <c r="EC8" s="535"/>
      <c r="ED8" s="535"/>
      <c r="EE8" s="535"/>
      <c r="EF8" s="535"/>
      <c r="EG8" s="535"/>
      <c r="EH8" s="535"/>
      <c r="EI8" s="535"/>
      <c r="EJ8" s="535"/>
      <c r="EK8" s="535"/>
      <c r="EL8" s="535"/>
      <c r="EM8" s="535"/>
      <c r="EN8" s="535"/>
      <c r="EO8" s="535"/>
      <c r="EP8" s="535"/>
      <c r="EQ8" s="535"/>
      <c r="ER8" s="535"/>
      <c r="ES8" s="535"/>
      <c r="ET8" s="535"/>
      <c r="EU8" s="535"/>
      <c r="EV8" s="535"/>
      <c r="EW8" s="535"/>
      <c r="EX8" s="535"/>
      <c r="EY8" s="535"/>
      <c r="EZ8" s="535"/>
      <c r="FA8" s="535"/>
      <c r="FB8" s="535"/>
      <c r="FC8" s="535"/>
      <c r="FD8" s="535"/>
      <c r="FE8" s="535"/>
      <c r="FF8" s="535"/>
      <c r="FG8" s="535"/>
      <c r="FH8" s="535"/>
      <c r="FI8" s="535"/>
      <c r="FJ8" s="535"/>
      <c r="FK8" s="535"/>
      <c r="FL8" s="535"/>
      <c r="FM8" s="535"/>
      <c r="FN8" s="535"/>
      <c r="FO8" s="535"/>
      <c r="FP8" s="535"/>
      <c r="FQ8" s="535"/>
      <c r="FR8" s="535"/>
      <c r="FS8" s="535"/>
      <c r="FT8" s="535"/>
      <c r="FU8" s="535"/>
      <c r="FV8" s="535"/>
      <c r="FW8" s="535"/>
      <c r="FX8" s="535"/>
      <c r="FY8" s="535"/>
      <c r="FZ8" s="535"/>
      <c r="GA8" s="535"/>
      <c r="GB8" s="535"/>
      <c r="GC8" s="535"/>
      <c r="GD8" s="535"/>
      <c r="GE8" s="535"/>
      <c r="GF8" s="535"/>
      <c r="GG8" s="535"/>
      <c r="GH8" s="535"/>
      <c r="GI8" s="535"/>
      <c r="GJ8" s="535"/>
      <c r="GK8" s="535"/>
      <c r="GL8" s="535"/>
      <c r="GM8" s="535"/>
      <c r="GN8" s="535"/>
      <c r="GO8" s="535"/>
      <c r="GP8" s="535"/>
      <c r="GQ8" s="535"/>
      <c r="GR8" s="535"/>
      <c r="GS8" s="535"/>
      <c r="GT8" s="535"/>
      <c r="GU8" s="535"/>
      <c r="GV8" s="535"/>
      <c r="GW8" s="535"/>
      <c r="GX8" s="535"/>
      <c r="GY8" s="535"/>
      <c r="GZ8" s="535"/>
      <c r="HA8" s="535"/>
      <c r="HB8" s="535"/>
      <c r="HC8" s="535"/>
      <c r="HD8" s="535"/>
      <c r="HE8" s="535"/>
      <c r="HF8" s="535"/>
      <c r="HG8" s="535"/>
      <c r="HH8" s="535"/>
      <c r="HI8" s="535"/>
      <c r="HJ8" s="535"/>
      <c r="HK8" s="535"/>
      <c r="HL8" s="535"/>
      <c r="HM8" s="535"/>
      <c r="HN8" s="535"/>
      <c r="HO8" s="535"/>
      <c r="HP8" s="535"/>
      <c r="HQ8" s="535"/>
      <c r="HR8" s="535"/>
      <c r="HS8" s="535"/>
      <c r="HT8" s="535"/>
      <c r="HU8" s="535"/>
      <c r="HV8" s="535"/>
      <c r="HW8" s="535"/>
      <c r="HX8" s="535"/>
      <c r="HY8" s="535"/>
      <c r="HZ8" s="535"/>
      <c r="IA8" s="535"/>
      <c r="IB8" s="535"/>
      <c r="IC8" s="535"/>
      <c r="ID8" s="535"/>
      <c r="IE8" s="535"/>
      <c r="IF8" s="535"/>
      <c r="IG8" s="535"/>
      <c r="IH8" s="535"/>
      <c r="II8" s="535"/>
      <c r="IJ8" s="535"/>
      <c r="IK8" s="535"/>
      <c r="IL8" s="535"/>
      <c r="IM8" s="535"/>
      <c r="IN8" s="535"/>
      <c r="IO8" s="535"/>
      <c r="IP8" s="535"/>
      <c r="IQ8" s="535"/>
      <c r="IR8" s="535"/>
      <c r="IS8" s="535"/>
      <c r="IT8" s="535"/>
      <c r="IU8" s="535"/>
      <c r="IV8" s="535"/>
      <c r="IW8" s="535"/>
      <c r="IX8" s="535"/>
      <c r="IY8" s="535"/>
      <c r="IZ8" s="535"/>
      <c r="JA8" s="535"/>
      <c r="JB8" s="535"/>
      <c r="JC8" s="535"/>
      <c r="JD8" s="535"/>
      <c r="JE8" s="535"/>
      <c r="JF8" s="535"/>
      <c r="JG8" s="535"/>
      <c r="JH8" s="535"/>
      <c r="JI8" s="535"/>
      <c r="JJ8" s="535"/>
      <c r="JK8" s="535"/>
      <c r="JL8" s="535"/>
      <c r="JM8" s="535"/>
      <c r="JN8" s="535"/>
      <c r="JO8" s="535"/>
      <c r="JP8" s="535"/>
      <c r="JQ8" s="535"/>
      <c r="JR8" s="535"/>
      <c r="JS8" s="535"/>
      <c r="JT8" s="535"/>
      <c r="JU8" s="535"/>
      <c r="JV8" s="535"/>
      <c r="JW8" s="535"/>
      <c r="JX8" s="535"/>
      <c r="JY8" s="535"/>
      <c r="JZ8" s="535"/>
      <c r="KA8" s="535"/>
      <c r="KB8" s="535"/>
      <c r="KC8" s="535"/>
      <c r="KD8" s="535"/>
      <c r="KE8" s="535"/>
      <c r="KF8" s="535"/>
      <c r="KG8" s="535"/>
      <c r="KH8" s="535"/>
      <c r="KI8" s="535"/>
      <c r="KJ8" s="535"/>
      <c r="KK8" s="535"/>
      <c r="KL8" s="535"/>
      <c r="KM8" s="535"/>
      <c r="KN8" s="535"/>
      <c r="KO8" s="535"/>
      <c r="KP8" s="535"/>
      <c r="KQ8" s="535"/>
      <c r="KR8" s="535"/>
      <c r="KS8" s="535"/>
      <c r="KT8" s="535"/>
      <c r="KU8" s="535"/>
      <c r="KV8" s="535"/>
      <c r="KW8" s="535"/>
      <c r="KX8" s="535"/>
      <c r="KY8" s="535"/>
      <c r="KZ8" s="535"/>
      <c r="LA8" s="535"/>
      <c r="LB8" s="535"/>
      <c r="LC8" s="535"/>
      <c r="LD8" s="535"/>
      <c r="LE8" s="535"/>
      <c r="LF8" s="535"/>
      <c r="LG8" s="535"/>
      <c r="LH8" s="535"/>
      <c r="LI8" s="535"/>
      <c r="LJ8" s="535"/>
      <c r="LK8" s="535"/>
      <c r="LL8" s="535"/>
      <c r="LM8" s="535"/>
      <c r="LN8" s="535"/>
      <c r="LO8" s="535"/>
      <c r="LP8" s="535"/>
      <c r="LQ8" s="535"/>
      <c r="LR8" s="535"/>
      <c r="LS8" s="535"/>
      <c r="LT8" s="535"/>
      <c r="LU8" s="535"/>
      <c r="LV8" s="535"/>
      <c r="LW8" s="535"/>
      <c r="LX8" s="535"/>
      <c r="LY8" s="535"/>
      <c r="LZ8" s="535"/>
      <c r="MA8" s="535"/>
      <c r="MB8" s="535"/>
      <c r="MC8" s="535"/>
      <c r="MD8" s="535"/>
      <c r="ME8" s="535"/>
      <c r="MF8" s="535"/>
      <c r="MG8" s="535"/>
      <c r="MH8" s="535"/>
      <c r="MI8" s="535"/>
      <c r="MJ8" s="535"/>
      <c r="MK8" s="535"/>
      <c r="ML8" s="535"/>
      <c r="MM8" s="535"/>
      <c r="MN8" s="535"/>
      <c r="MO8" s="535"/>
      <c r="MP8" s="535"/>
      <c r="MQ8" s="535"/>
      <c r="MR8" s="535"/>
      <c r="MS8" s="535"/>
      <c r="MT8" s="535"/>
      <c r="MU8" s="535"/>
      <c r="MV8" s="535"/>
      <c r="MW8" s="535"/>
      <c r="MX8" s="535"/>
      <c r="MY8" s="535"/>
      <c r="MZ8" s="535"/>
      <c r="NA8" s="535"/>
      <c r="NB8" s="535"/>
      <c r="NC8" s="535"/>
      <c r="ND8" s="535"/>
      <c r="NE8" s="535"/>
      <c r="NF8" s="535"/>
      <c r="NG8" s="535"/>
      <c r="NH8" s="535"/>
      <c r="NI8" s="535"/>
      <c r="NJ8" s="535"/>
      <c r="NK8" s="535"/>
      <c r="NL8" s="535"/>
      <c r="NM8" s="535"/>
      <c r="NN8" s="535"/>
      <c r="NO8" s="535"/>
      <c r="NP8" s="535"/>
      <c r="NQ8" s="535"/>
      <c r="NR8" s="535"/>
      <c r="NS8" s="535"/>
      <c r="NT8" s="535"/>
      <c r="NU8" s="535"/>
      <c r="NV8" s="535"/>
      <c r="NW8" s="535"/>
      <c r="NX8" s="535"/>
      <c r="NY8" s="535"/>
      <c r="NZ8" s="535"/>
      <c r="OA8" s="535"/>
      <c r="OB8" s="535"/>
      <c r="OC8" s="535"/>
      <c r="OD8" s="535"/>
      <c r="OE8" s="535"/>
      <c r="OF8" s="535"/>
      <c r="OG8" s="535"/>
      <c r="OH8" s="535"/>
      <c r="OI8" s="535"/>
      <c r="OJ8" s="535"/>
      <c r="OK8" s="535"/>
      <c r="OL8" s="535"/>
      <c r="OM8" s="535"/>
      <c r="ON8" s="535"/>
      <c r="OO8" s="535"/>
      <c r="OP8" s="535"/>
      <c r="OQ8" s="535"/>
      <c r="OR8" s="535"/>
      <c r="OS8" s="535"/>
      <c r="OT8" s="535"/>
      <c r="OU8" s="535"/>
      <c r="OV8" s="535"/>
      <c r="OW8" s="535"/>
      <c r="OX8" s="535"/>
      <c r="OY8" s="535"/>
      <c r="OZ8" s="535"/>
      <c r="PA8" s="535"/>
      <c r="PB8" s="535"/>
      <c r="PC8" s="535"/>
      <c r="PD8" s="535"/>
      <c r="PE8" s="535"/>
      <c r="PF8" s="535"/>
      <c r="PG8" s="535"/>
      <c r="PH8" s="535"/>
      <c r="PI8" s="535"/>
      <c r="PJ8" s="535"/>
      <c r="PK8" s="535"/>
      <c r="PL8" s="535"/>
      <c r="PM8" s="535"/>
      <c r="PN8" s="535"/>
      <c r="PO8" s="535"/>
      <c r="PP8" s="535"/>
      <c r="PQ8" s="535"/>
      <c r="PR8" s="535"/>
      <c r="PS8" s="535"/>
      <c r="PT8" s="535"/>
      <c r="PU8" s="535"/>
      <c r="PV8" s="535"/>
      <c r="PW8" s="535"/>
      <c r="PX8" s="535"/>
      <c r="PY8" s="535"/>
      <c r="PZ8" s="535"/>
      <c r="QA8" s="535"/>
      <c r="QB8" s="535"/>
      <c r="QC8" s="535"/>
      <c r="QD8" s="535"/>
      <c r="QE8" s="535"/>
      <c r="QF8" s="535"/>
      <c r="QG8" s="535"/>
      <c r="QH8" s="535"/>
      <c r="QI8" s="535"/>
      <c r="QJ8" s="535"/>
      <c r="QK8" s="535"/>
      <c r="QL8" s="535"/>
      <c r="QM8" s="535"/>
      <c r="QN8" s="535"/>
      <c r="QO8" s="535"/>
      <c r="QP8" s="535"/>
      <c r="QQ8" s="535"/>
      <c r="QR8" s="535"/>
      <c r="QS8" s="535"/>
      <c r="QT8" s="535"/>
      <c r="QU8" s="535"/>
      <c r="QV8" s="535"/>
      <c r="QW8" s="535"/>
      <c r="QX8" s="535"/>
      <c r="QY8" s="535"/>
      <c r="QZ8" s="535"/>
      <c r="RA8" s="535"/>
      <c r="RB8" s="535"/>
      <c r="RC8" s="535"/>
      <c r="RD8" s="535"/>
      <c r="RE8" s="535"/>
      <c r="RF8" s="535"/>
      <c r="RG8" s="535"/>
      <c r="RH8" s="535"/>
      <c r="RI8" s="535"/>
      <c r="RJ8" s="535"/>
      <c r="RK8" s="535"/>
      <c r="RL8" s="535"/>
      <c r="RM8" s="535"/>
      <c r="RN8" s="535"/>
      <c r="RO8" s="535"/>
      <c r="RP8" s="535"/>
      <c r="RQ8" s="535"/>
      <c r="RR8" s="535"/>
      <c r="RS8" s="535"/>
      <c r="RT8" s="535"/>
      <c r="RU8" s="535"/>
      <c r="RV8" s="535"/>
      <c r="RW8" s="535"/>
      <c r="RX8" s="535"/>
    </row>
    <row r="9" spans="1:492" s="536" customFormat="1" ht="20.149999999999999" customHeight="1">
      <c r="A9" s="546" t="s">
        <v>461</v>
      </c>
      <c r="B9" s="571" t="s">
        <v>462</v>
      </c>
      <c r="C9" s="526"/>
      <c r="D9" s="526"/>
      <c r="E9" s="526"/>
      <c r="F9" s="526"/>
      <c r="G9" s="526"/>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57"/>
      <c r="AN9" s="527"/>
      <c r="AO9" s="527"/>
      <c r="AP9" s="527"/>
      <c r="AQ9" s="558"/>
      <c r="AR9" s="527"/>
      <c r="AS9" s="527"/>
      <c r="AT9" s="527"/>
      <c r="AU9" s="527"/>
      <c r="AV9" s="522"/>
      <c r="AW9" s="527"/>
      <c r="AX9" s="527"/>
      <c r="AY9" s="527"/>
      <c r="AZ9" s="527"/>
      <c r="BA9" s="533"/>
      <c r="BB9" s="557"/>
      <c r="BC9" s="527"/>
      <c r="BD9" s="527"/>
      <c r="BE9" s="521"/>
      <c r="BF9" s="558"/>
      <c r="BG9" s="527"/>
      <c r="BH9" s="527"/>
      <c r="BI9" s="527"/>
      <c r="BJ9" s="521"/>
      <c r="BK9" s="558"/>
      <c r="BL9" s="527"/>
      <c r="BM9" s="521"/>
      <c r="BN9" s="527"/>
      <c r="BO9" s="521"/>
      <c r="BP9" s="558"/>
      <c r="BQ9" s="527"/>
      <c r="BR9" s="521"/>
      <c r="BS9" s="527">
        <v>376.5</v>
      </c>
      <c r="BT9" s="521">
        <v>395.1</v>
      </c>
      <c r="BU9" s="558">
        <f t="shared" si="10"/>
        <v>771.6</v>
      </c>
      <c r="BV9" s="527">
        <v>354.3</v>
      </c>
      <c r="BW9" s="521">
        <v>324.2</v>
      </c>
      <c r="BX9" s="527"/>
      <c r="BY9" s="521"/>
      <c r="BZ9" s="558">
        <f t="shared" si="11"/>
        <v>678.5</v>
      </c>
      <c r="CA9" s="535"/>
      <c r="CB9" s="944"/>
      <c r="CC9" s="527"/>
      <c r="CD9" s="535"/>
      <c r="CE9" s="535"/>
      <c r="CF9" s="535"/>
      <c r="CG9" s="535"/>
      <c r="CH9" s="535"/>
      <c r="CI9" s="535"/>
      <c r="CJ9" s="535"/>
      <c r="CK9" s="535"/>
      <c r="CL9" s="535"/>
      <c r="CM9" s="535"/>
      <c r="CN9" s="535"/>
      <c r="CO9" s="535"/>
      <c r="CP9" s="535"/>
      <c r="CQ9" s="535"/>
      <c r="CR9" s="535"/>
      <c r="CS9" s="535"/>
      <c r="CT9" s="535"/>
      <c r="CU9" s="535"/>
      <c r="CV9" s="535"/>
      <c r="CW9" s="535"/>
      <c r="CX9" s="535"/>
      <c r="CY9" s="535"/>
      <c r="CZ9" s="535"/>
      <c r="DA9" s="535"/>
      <c r="DB9" s="535"/>
      <c r="DC9" s="535"/>
      <c r="DD9" s="535"/>
      <c r="DE9" s="535"/>
      <c r="DF9" s="535"/>
      <c r="DG9" s="535"/>
      <c r="DH9" s="535"/>
      <c r="DI9" s="535"/>
      <c r="DJ9" s="535"/>
      <c r="DK9" s="535"/>
      <c r="DL9" s="535"/>
      <c r="DM9" s="535"/>
      <c r="DN9" s="535"/>
      <c r="DO9" s="535"/>
      <c r="DP9" s="535"/>
      <c r="DQ9" s="535"/>
      <c r="DR9" s="535"/>
      <c r="DS9" s="535"/>
      <c r="DT9" s="535"/>
      <c r="DU9" s="535"/>
      <c r="DV9" s="535"/>
      <c r="DW9" s="535"/>
      <c r="DX9" s="535"/>
      <c r="DY9" s="535"/>
      <c r="DZ9" s="535"/>
      <c r="EA9" s="535"/>
      <c r="EB9" s="535"/>
      <c r="EC9" s="535"/>
      <c r="ED9" s="535"/>
      <c r="EE9" s="535"/>
      <c r="EF9" s="535"/>
      <c r="EG9" s="535"/>
      <c r="EH9" s="535"/>
      <c r="EI9" s="535"/>
      <c r="EJ9" s="535"/>
      <c r="EK9" s="535"/>
      <c r="EL9" s="535"/>
      <c r="EM9" s="535"/>
      <c r="EN9" s="535"/>
      <c r="EO9" s="535"/>
      <c r="EP9" s="535"/>
      <c r="EQ9" s="535"/>
      <c r="ER9" s="535"/>
      <c r="ES9" s="535"/>
      <c r="ET9" s="535"/>
      <c r="EU9" s="535"/>
      <c r="EV9" s="535"/>
      <c r="EW9" s="535"/>
      <c r="EX9" s="535"/>
      <c r="EY9" s="535"/>
      <c r="EZ9" s="535"/>
      <c r="FA9" s="535"/>
      <c r="FB9" s="535"/>
      <c r="FC9" s="535"/>
      <c r="FD9" s="535"/>
      <c r="FE9" s="535"/>
      <c r="FF9" s="535"/>
      <c r="FG9" s="535"/>
      <c r="FH9" s="535"/>
      <c r="FI9" s="535"/>
      <c r="FJ9" s="535"/>
      <c r="FK9" s="535"/>
      <c r="FL9" s="535"/>
      <c r="FM9" s="535"/>
      <c r="FN9" s="535"/>
      <c r="FO9" s="535"/>
      <c r="FP9" s="535"/>
      <c r="FQ9" s="535"/>
      <c r="FR9" s="535"/>
      <c r="FS9" s="535"/>
      <c r="FT9" s="535"/>
      <c r="FU9" s="535"/>
      <c r="FV9" s="535"/>
      <c r="FW9" s="535"/>
      <c r="FX9" s="535"/>
      <c r="FY9" s="535"/>
      <c r="FZ9" s="535"/>
      <c r="GA9" s="535"/>
      <c r="GB9" s="535"/>
      <c r="GC9" s="535"/>
      <c r="GD9" s="535"/>
      <c r="GE9" s="535"/>
      <c r="GF9" s="535"/>
      <c r="GG9" s="535"/>
      <c r="GH9" s="535"/>
      <c r="GI9" s="535"/>
      <c r="GJ9" s="535"/>
      <c r="GK9" s="535"/>
      <c r="GL9" s="535"/>
      <c r="GM9" s="535"/>
      <c r="GN9" s="535"/>
      <c r="GO9" s="535"/>
      <c r="GP9" s="535"/>
      <c r="GQ9" s="535"/>
      <c r="GR9" s="535"/>
      <c r="GS9" s="535"/>
      <c r="GT9" s="535"/>
      <c r="GU9" s="535"/>
      <c r="GV9" s="535"/>
      <c r="GW9" s="535"/>
      <c r="GX9" s="535"/>
      <c r="GY9" s="535"/>
      <c r="GZ9" s="535"/>
      <c r="HA9" s="535"/>
      <c r="HB9" s="535"/>
      <c r="HC9" s="535"/>
      <c r="HD9" s="535"/>
      <c r="HE9" s="535"/>
      <c r="HF9" s="535"/>
      <c r="HG9" s="535"/>
      <c r="HH9" s="535"/>
      <c r="HI9" s="535"/>
      <c r="HJ9" s="535"/>
      <c r="HK9" s="535"/>
      <c r="HL9" s="535"/>
      <c r="HM9" s="535"/>
      <c r="HN9" s="535"/>
      <c r="HO9" s="535"/>
      <c r="HP9" s="535"/>
      <c r="HQ9" s="535"/>
      <c r="HR9" s="535"/>
      <c r="HS9" s="535"/>
      <c r="HT9" s="535"/>
      <c r="HU9" s="535"/>
      <c r="HV9" s="535"/>
      <c r="HW9" s="535"/>
      <c r="HX9" s="535"/>
      <c r="HY9" s="535"/>
      <c r="HZ9" s="535"/>
      <c r="IA9" s="535"/>
      <c r="IB9" s="535"/>
      <c r="IC9" s="535"/>
      <c r="ID9" s="535"/>
      <c r="IE9" s="535"/>
      <c r="IF9" s="535"/>
      <c r="IG9" s="535"/>
      <c r="IH9" s="535"/>
      <c r="II9" s="535"/>
      <c r="IJ9" s="535"/>
      <c r="IK9" s="535"/>
      <c r="IL9" s="535"/>
      <c r="IM9" s="535"/>
      <c r="IN9" s="535"/>
      <c r="IO9" s="535"/>
      <c r="IP9" s="535"/>
      <c r="IQ9" s="535"/>
      <c r="IR9" s="535"/>
      <c r="IS9" s="535"/>
      <c r="IT9" s="535"/>
      <c r="IU9" s="535"/>
      <c r="IV9" s="535"/>
      <c r="IW9" s="535"/>
      <c r="IX9" s="535"/>
      <c r="IY9" s="535"/>
      <c r="IZ9" s="535"/>
      <c r="JA9" s="535"/>
      <c r="JB9" s="535"/>
      <c r="JC9" s="535"/>
      <c r="JD9" s="535"/>
      <c r="JE9" s="535"/>
      <c r="JF9" s="535"/>
      <c r="JG9" s="535"/>
      <c r="JH9" s="535"/>
      <c r="JI9" s="535"/>
      <c r="JJ9" s="535"/>
      <c r="JK9" s="535"/>
      <c r="JL9" s="535"/>
      <c r="JM9" s="535"/>
      <c r="JN9" s="535"/>
      <c r="JO9" s="535"/>
      <c r="JP9" s="535"/>
      <c r="JQ9" s="535"/>
      <c r="JR9" s="535"/>
      <c r="JS9" s="535"/>
      <c r="JT9" s="535"/>
      <c r="JU9" s="535"/>
      <c r="JV9" s="535"/>
      <c r="JW9" s="535"/>
      <c r="JX9" s="535"/>
      <c r="JY9" s="535"/>
      <c r="JZ9" s="535"/>
      <c r="KA9" s="535"/>
      <c r="KB9" s="535"/>
      <c r="KC9" s="535"/>
      <c r="KD9" s="535"/>
      <c r="KE9" s="535"/>
      <c r="KF9" s="535"/>
      <c r="KG9" s="535"/>
      <c r="KH9" s="535"/>
      <c r="KI9" s="535"/>
      <c r="KJ9" s="535"/>
      <c r="KK9" s="535"/>
      <c r="KL9" s="535"/>
      <c r="KM9" s="535"/>
      <c r="KN9" s="535"/>
      <c r="KO9" s="535"/>
      <c r="KP9" s="535"/>
      <c r="KQ9" s="535"/>
      <c r="KR9" s="535"/>
      <c r="KS9" s="535"/>
      <c r="KT9" s="535"/>
      <c r="KU9" s="535"/>
      <c r="KV9" s="535"/>
      <c r="KW9" s="535"/>
      <c r="KX9" s="535"/>
      <c r="KY9" s="535"/>
      <c r="KZ9" s="535"/>
      <c r="LA9" s="535"/>
      <c r="LB9" s="535"/>
      <c r="LC9" s="535"/>
      <c r="LD9" s="535"/>
      <c r="LE9" s="535"/>
      <c r="LF9" s="535"/>
      <c r="LG9" s="535"/>
      <c r="LH9" s="535"/>
      <c r="LI9" s="535"/>
      <c r="LJ9" s="535"/>
      <c r="LK9" s="535"/>
      <c r="LL9" s="535"/>
      <c r="LM9" s="535"/>
      <c r="LN9" s="535"/>
      <c r="LO9" s="535"/>
      <c r="LP9" s="535"/>
      <c r="LQ9" s="535"/>
      <c r="LR9" s="535"/>
      <c r="LS9" s="535"/>
      <c r="LT9" s="535"/>
      <c r="LU9" s="535"/>
      <c r="LV9" s="535"/>
      <c r="LW9" s="535"/>
      <c r="LX9" s="535"/>
      <c r="LY9" s="535"/>
      <c r="LZ9" s="535"/>
      <c r="MA9" s="535"/>
      <c r="MB9" s="535"/>
      <c r="MC9" s="535"/>
      <c r="MD9" s="535"/>
      <c r="ME9" s="535"/>
      <c r="MF9" s="535"/>
      <c r="MG9" s="535"/>
      <c r="MH9" s="535"/>
      <c r="MI9" s="535"/>
      <c r="MJ9" s="535"/>
      <c r="MK9" s="535"/>
      <c r="ML9" s="535"/>
      <c r="MM9" s="535"/>
      <c r="MN9" s="535"/>
      <c r="MO9" s="535"/>
      <c r="MP9" s="535"/>
      <c r="MQ9" s="535"/>
      <c r="MR9" s="535"/>
      <c r="MS9" s="535"/>
      <c r="MT9" s="535"/>
      <c r="MU9" s="535"/>
      <c r="MV9" s="535"/>
      <c r="MW9" s="535"/>
      <c r="MX9" s="535"/>
      <c r="MY9" s="535"/>
      <c r="MZ9" s="535"/>
      <c r="NA9" s="535"/>
      <c r="NB9" s="535"/>
      <c r="NC9" s="535"/>
      <c r="ND9" s="535"/>
      <c r="NE9" s="535"/>
      <c r="NF9" s="535"/>
      <c r="NG9" s="535"/>
      <c r="NH9" s="535"/>
      <c r="NI9" s="535"/>
      <c r="NJ9" s="535"/>
      <c r="NK9" s="535"/>
      <c r="NL9" s="535"/>
      <c r="NM9" s="535"/>
      <c r="NN9" s="535"/>
      <c r="NO9" s="535"/>
      <c r="NP9" s="535"/>
      <c r="NQ9" s="535"/>
      <c r="NR9" s="535"/>
      <c r="NS9" s="535"/>
      <c r="NT9" s="535"/>
      <c r="NU9" s="535"/>
      <c r="NV9" s="535"/>
      <c r="NW9" s="535"/>
      <c r="NX9" s="535"/>
      <c r="NY9" s="535"/>
      <c r="NZ9" s="535"/>
      <c r="OA9" s="535"/>
      <c r="OB9" s="535"/>
      <c r="OC9" s="535"/>
      <c r="OD9" s="535"/>
      <c r="OE9" s="535"/>
      <c r="OF9" s="535"/>
      <c r="OG9" s="535"/>
      <c r="OH9" s="535"/>
      <c r="OI9" s="535"/>
      <c r="OJ9" s="535"/>
      <c r="OK9" s="535"/>
      <c r="OL9" s="535"/>
      <c r="OM9" s="535"/>
      <c r="ON9" s="535"/>
      <c r="OO9" s="535"/>
      <c r="OP9" s="535"/>
      <c r="OQ9" s="535"/>
      <c r="OR9" s="535"/>
      <c r="OS9" s="535"/>
      <c r="OT9" s="535"/>
      <c r="OU9" s="535"/>
      <c r="OV9" s="535"/>
      <c r="OW9" s="535"/>
      <c r="OX9" s="535"/>
      <c r="OY9" s="535"/>
      <c r="OZ9" s="535"/>
      <c r="PA9" s="535"/>
      <c r="PB9" s="535"/>
      <c r="PC9" s="535"/>
      <c r="PD9" s="535"/>
      <c r="PE9" s="535"/>
      <c r="PF9" s="535"/>
      <c r="PG9" s="535"/>
      <c r="PH9" s="535"/>
      <c r="PI9" s="535"/>
      <c r="PJ9" s="535"/>
      <c r="PK9" s="535"/>
      <c r="PL9" s="535"/>
      <c r="PM9" s="535"/>
      <c r="PN9" s="535"/>
      <c r="PO9" s="535"/>
      <c r="PP9" s="535"/>
      <c r="PQ9" s="535"/>
      <c r="PR9" s="535"/>
      <c r="PS9" s="535"/>
      <c r="PT9" s="535"/>
      <c r="PU9" s="535"/>
      <c r="PV9" s="535"/>
      <c r="PW9" s="535"/>
      <c r="PX9" s="535"/>
      <c r="PY9" s="535"/>
      <c r="PZ9" s="535"/>
      <c r="QA9" s="535"/>
      <c r="QB9" s="535"/>
      <c r="QC9" s="535"/>
      <c r="QD9" s="535"/>
      <c r="QE9" s="535"/>
      <c r="QF9" s="535"/>
      <c r="QG9" s="535"/>
      <c r="QH9" s="535"/>
      <c r="QI9" s="535"/>
      <c r="QJ9" s="535"/>
      <c r="QK9" s="535"/>
      <c r="QL9" s="535"/>
      <c r="QM9" s="535"/>
      <c r="QN9" s="535"/>
      <c r="QO9" s="535"/>
      <c r="QP9" s="535"/>
      <c r="QQ9" s="535"/>
      <c r="QR9" s="535"/>
      <c r="QS9" s="535"/>
      <c r="QT9" s="535"/>
      <c r="QU9" s="535"/>
      <c r="QV9" s="535"/>
      <c r="QW9" s="535"/>
      <c r="QX9" s="535"/>
      <c r="QY9" s="535"/>
      <c r="QZ9" s="535"/>
      <c r="RA9" s="535"/>
      <c r="RB9" s="535"/>
      <c r="RC9" s="535"/>
      <c r="RD9" s="535"/>
      <c r="RE9" s="535"/>
      <c r="RF9" s="535"/>
      <c r="RG9" s="535"/>
      <c r="RH9" s="535"/>
      <c r="RI9" s="535"/>
      <c r="RJ9" s="535"/>
      <c r="RK9" s="535"/>
      <c r="RL9" s="535"/>
      <c r="RM9" s="535"/>
      <c r="RN9" s="535"/>
      <c r="RO9" s="535"/>
      <c r="RP9" s="535"/>
      <c r="RQ9" s="535"/>
      <c r="RR9" s="535"/>
      <c r="RS9" s="535"/>
      <c r="RT9" s="535"/>
      <c r="RU9" s="535"/>
      <c r="RV9" s="535"/>
      <c r="RW9" s="535"/>
      <c r="RX9" s="535"/>
    </row>
    <row r="10" spans="1:492" s="536" customFormat="1" ht="20.149999999999999" customHeight="1" thickBot="1">
      <c r="A10" s="546" t="s">
        <v>463</v>
      </c>
      <c r="B10" s="571" t="s">
        <v>464</v>
      </c>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59">
        <v>-53.1</v>
      </c>
      <c r="AN10" s="537">
        <v>-56.999999999999993</v>
      </c>
      <c r="AO10" s="537">
        <v>-69.700000000000017</v>
      </c>
      <c r="AP10" s="537">
        <v>-60.699999999999989</v>
      </c>
      <c r="AQ10" s="558">
        <f t="shared" si="5"/>
        <v>-240.5</v>
      </c>
      <c r="AR10" s="537"/>
      <c r="AS10" s="537"/>
      <c r="AT10" s="537"/>
      <c r="AU10" s="537"/>
      <c r="AV10" s="538"/>
      <c r="AW10" s="537">
        <v>-61.2</v>
      </c>
      <c r="AX10" s="537">
        <v>-66</v>
      </c>
      <c r="AY10" s="537">
        <v>-63.600000000000009</v>
      </c>
      <c r="AZ10" s="537">
        <v>-66.399999999999977</v>
      </c>
      <c r="BA10" s="533">
        <f t="shared" si="6"/>
        <v>-257.2</v>
      </c>
      <c r="BB10" s="559">
        <v>-65.5</v>
      </c>
      <c r="BC10" s="537">
        <v>-68</v>
      </c>
      <c r="BD10" s="537">
        <v>-68.699999999999989</v>
      </c>
      <c r="BE10" s="537">
        <v>-72.599999999999994</v>
      </c>
      <c r="BF10" s="568">
        <f t="shared" si="7"/>
        <v>-274.79999999999995</v>
      </c>
      <c r="BG10" s="537">
        <v>-70.8</v>
      </c>
      <c r="BH10" s="537">
        <v>-71.000000000000014</v>
      </c>
      <c r="BI10" s="537">
        <v>-59.899999999999991</v>
      </c>
      <c r="BJ10" s="537">
        <f>-274.8-SUM(BG10:BI10)</f>
        <v>-73.100000000000023</v>
      </c>
      <c r="BK10" s="568">
        <f t="shared" si="8"/>
        <v>-274.8</v>
      </c>
      <c r="BL10" s="537">
        <v>-72.7</v>
      </c>
      <c r="BM10" s="758">
        <f>-166.3-BL10</f>
        <v>-93.600000000000009</v>
      </c>
      <c r="BN10" s="537">
        <f>-266.4-BM10-BL10</f>
        <v>-100.09999999999995</v>
      </c>
      <c r="BO10" s="537">
        <f>-373.9-BN10-BM10-BL10</f>
        <v>-107.49999999999999</v>
      </c>
      <c r="BP10" s="568">
        <f t="shared" si="9"/>
        <v>-373.9</v>
      </c>
      <c r="BQ10" s="537">
        <v>-87.9</v>
      </c>
      <c r="BR10" s="848">
        <f>-175.4-BQ10</f>
        <v>-87.5</v>
      </c>
      <c r="BS10" s="537">
        <v>-165.20000000000002</v>
      </c>
      <c r="BT10" s="537">
        <v>-169.09999999999997</v>
      </c>
      <c r="BU10" s="568">
        <f t="shared" si="10"/>
        <v>-509.7</v>
      </c>
      <c r="BV10" s="537">
        <v>-150.30000000000001</v>
      </c>
      <c r="BW10" s="848">
        <v>-176</v>
      </c>
      <c r="BX10" s="537"/>
      <c r="BY10" s="537"/>
      <c r="BZ10" s="568">
        <f t="shared" si="11"/>
        <v>-326.3</v>
      </c>
      <c r="CA10" s="535"/>
      <c r="CB10" s="944"/>
      <c r="CC10" s="527"/>
      <c r="CD10" s="535"/>
      <c r="CE10" s="535"/>
      <c r="CF10" s="535"/>
      <c r="CG10" s="535"/>
      <c r="CH10" s="535"/>
      <c r="CI10" s="535"/>
      <c r="CJ10" s="535"/>
      <c r="CK10" s="535"/>
      <c r="CL10" s="535"/>
      <c r="CM10" s="535"/>
      <c r="CN10" s="535"/>
      <c r="CO10" s="535"/>
      <c r="CP10" s="535"/>
      <c r="CQ10" s="535"/>
      <c r="CR10" s="535"/>
      <c r="CS10" s="535"/>
      <c r="CT10" s="535"/>
      <c r="CU10" s="535"/>
      <c r="CV10" s="535"/>
      <c r="CW10" s="535"/>
      <c r="CX10" s="535"/>
      <c r="CY10" s="535"/>
      <c r="CZ10" s="535"/>
      <c r="DA10" s="535"/>
      <c r="DB10" s="535"/>
      <c r="DC10" s="535"/>
      <c r="DD10" s="535"/>
      <c r="DE10" s="535"/>
      <c r="DF10" s="535"/>
      <c r="DG10" s="535"/>
      <c r="DH10" s="535"/>
      <c r="DI10" s="535"/>
      <c r="DJ10" s="535"/>
      <c r="DK10" s="535"/>
      <c r="DL10" s="535"/>
      <c r="DM10" s="535"/>
      <c r="DN10" s="535"/>
      <c r="DO10" s="535"/>
      <c r="DP10" s="535"/>
      <c r="DQ10" s="535"/>
      <c r="DR10" s="535"/>
      <c r="DS10" s="535"/>
      <c r="DT10" s="535"/>
      <c r="DU10" s="535"/>
      <c r="DV10" s="535"/>
      <c r="DW10" s="535"/>
      <c r="DX10" s="535"/>
      <c r="DY10" s="535"/>
      <c r="DZ10" s="535"/>
      <c r="EA10" s="535"/>
      <c r="EB10" s="535"/>
      <c r="EC10" s="535"/>
      <c r="ED10" s="535"/>
      <c r="EE10" s="535"/>
      <c r="EF10" s="535"/>
      <c r="EG10" s="535"/>
      <c r="EH10" s="535"/>
      <c r="EI10" s="535"/>
      <c r="EJ10" s="535"/>
      <c r="EK10" s="535"/>
      <c r="EL10" s="535"/>
      <c r="EM10" s="535"/>
      <c r="EN10" s="535"/>
      <c r="EO10" s="535"/>
      <c r="EP10" s="535"/>
      <c r="EQ10" s="535"/>
      <c r="ER10" s="535"/>
      <c r="ES10" s="535"/>
      <c r="ET10" s="535"/>
      <c r="EU10" s="535"/>
      <c r="EV10" s="535"/>
      <c r="EW10" s="535"/>
      <c r="EX10" s="535"/>
      <c r="EY10" s="535"/>
      <c r="EZ10" s="535"/>
      <c r="FA10" s="535"/>
      <c r="FB10" s="535"/>
      <c r="FC10" s="535"/>
      <c r="FD10" s="535"/>
      <c r="FE10" s="535"/>
      <c r="FF10" s="535"/>
      <c r="FG10" s="535"/>
      <c r="FH10" s="535"/>
      <c r="FI10" s="535"/>
      <c r="FJ10" s="535"/>
      <c r="FK10" s="535"/>
      <c r="FL10" s="535"/>
      <c r="FM10" s="535"/>
      <c r="FN10" s="535"/>
      <c r="FO10" s="535"/>
      <c r="FP10" s="535"/>
      <c r="FQ10" s="535"/>
      <c r="FR10" s="535"/>
      <c r="FS10" s="535"/>
      <c r="FT10" s="535"/>
      <c r="FU10" s="535"/>
      <c r="FV10" s="535"/>
      <c r="FW10" s="535"/>
      <c r="FX10" s="535"/>
      <c r="FY10" s="535"/>
      <c r="FZ10" s="535"/>
      <c r="GA10" s="535"/>
      <c r="GB10" s="535"/>
      <c r="GC10" s="535"/>
      <c r="GD10" s="535"/>
      <c r="GE10" s="535"/>
      <c r="GF10" s="535"/>
      <c r="GG10" s="535"/>
      <c r="GH10" s="535"/>
      <c r="GI10" s="535"/>
      <c r="GJ10" s="535"/>
      <c r="GK10" s="535"/>
      <c r="GL10" s="535"/>
      <c r="GM10" s="535"/>
      <c r="GN10" s="535"/>
      <c r="GO10" s="535"/>
      <c r="GP10" s="535"/>
      <c r="GQ10" s="535"/>
      <c r="GR10" s="535"/>
      <c r="GS10" s="535"/>
      <c r="GT10" s="535"/>
      <c r="GU10" s="535"/>
      <c r="GV10" s="535"/>
      <c r="GW10" s="535"/>
      <c r="GX10" s="535"/>
      <c r="GY10" s="535"/>
      <c r="GZ10" s="535"/>
      <c r="HA10" s="535"/>
      <c r="HB10" s="535"/>
      <c r="HC10" s="535"/>
      <c r="HD10" s="535"/>
      <c r="HE10" s="535"/>
      <c r="HF10" s="535"/>
      <c r="HG10" s="535"/>
      <c r="HH10" s="535"/>
      <c r="HI10" s="535"/>
      <c r="HJ10" s="535"/>
      <c r="HK10" s="535"/>
      <c r="HL10" s="535"/>
      <c r="HM10" s="535"/>
      <c r="HN10" s="535"/>
      <c r="HO10" s="535"/>
      <c r="HP10" s="535"/>
      <c r="HQ10" s="535"/>
      <c r="HR10" s="535"/>
      <c r="HS10" s="535"/>
      <c r="HT10" s="535"/>
      <c r="HU10" s="535"/>
      <c r="HV10" s="535"/>
      <c r="HW10" s="535"/>
      <c r="HX10" s="535"/>
      <c r="HY10" s="535"/>
      <c r="HZ10" s="535"/>
      <c r="IA10" s="535"/>
      <c r="IB10" s="535"/>
      <c r="IC10" s="535"/>
      <c r="ID10" s="535"/>
      <c r="IE10" s="535"/>
      <c r="IF10" s="535"/>
      <c r="IG10" s="535"/>
      <c r="IH10" s="535"/>
      <c r="II10" s="535"/>
      <c r="IJ10" s="535"/>
      <c r="IK10" s="535"/>
      <c r="IL10" s="535"/>
      <c r="IM10" s="535"/>
      <c r="IN10" s="535"/>
      <c r="IO10" s="535"/>
      <c r="IP10" s="535"/>
      <c r="IQ10" s="535"/>
      <c r="IR10" s="535"/>
      <c r="IS10" s="535"/>
      <c r="IT10" s="535"/>
      <c r="IU10" s="535"/>
      <c r="IV10" s="535"/>
      <c r="IW10" s="535"/>
      <c r="IX10" s="535"/>
      <c r="IY10" s="535"/>
      <c r="IZ10" s="535"/>
      <c r="JA10" s="535"/>
      <c r="JB10" s="535"/>
      <c r="JC10" s="535"/>
      <c r="JD10" s="535"/>
      <c r="JE10" s="535"/>
      <c r="JF10" s="535"/>
      <c r="JG10" s="535"/>
      <c r="JH10" s="535"/>
      <c r="JI10" s="535"/>
      <c r="JJ10" s="535"/>
      <c r="JK10" s="535"/>
      <c r="JL10" s="535"/>
      <c r="JM10" s="535"/>
      <c r="JN10" s="535"/>
      <c r="JO10" s="535"/>
      <c r="JP10" s="535"/>
      <c r="JQ10" s="535"/>
      <c r="JR10" s="535"/>
      <c r="JS10" s="535"/>
      <c r="JT10" s="535"/>
      <c r="JU10" s="535"/>
      <c r="JV10" s="535"/>
      <c r="JW10" s="535"/>
      <c r="JX10" s="535"/>
      <c r="JY10" s="535"/>
      <c r="JZ10" s="535"/>
      <c r="KA10" s="535"/>
      <c r="KB10" s="535"/>
      <c r="KC10" s="535"/>
      <c r="KD10" s="535"/>
      <c r="KE10" s="535"/>
      <c r="KF10" s="535"/>
      <c r="KG10" s="535"/>
      <c r="KH10" s="535"/>
      <c r="KI10" s="535"/>
      <c r="KJ10" s="535"/>
      <c r="KK10" s="535"/>
      <c r="KL10" s="535"/>
      <c r="KM10" s="535"/>
      <c r="KN10" s="535"/>
      <c r="KO10" s="535"/>
      <c r="KP10" s="535"/>
      <c r="KQ10" s="535"/>
      <c r="KR10" s="535"/>
      <c r="KS10" s="535"/>
      <c r="KT10" s="535"/>
      <c r="KU10" s="535"/>
      <c r="KV10" s="535"/>
      <c r="KW10" s="535"/>
      <c r="KX10" s="535"/>
      <c r="KY10" s="535"/>
      <c r="KZ10" s="535"/>
      <c r="LA10" s="535"/>
      <c r="LB10" s="535"/>
      <c r="LC10" s="535"/>
      <c r="LD10" s="535"/>
      <c r="LE10" s="535"/>
      <c r="LF10" s="535"/>
      <c r="LG10" s="535"/>
      <c r="LH10" s="535"/>
      <c r="LI10" s="535"/>
      <c r="LJ10" s="535"/>
      <c r="LK10" s="535"/>
      <c r="LL10" s="535"/>
      <c r="LM10" s="535"/>
      <c r="LN10" s="535"/>
      <c r="LO10" s="535"/>
      <c r="LP10" s="535"/>
      <c r="LQ10" s="535"/>
      <c r="LR10" s="535"/>
      <c r="LS10" s="535"/>
      <c r="LT10" s="535"/>
      <c r="LU10" s="535"/>
      <c r="LV10" s="535"/>
      <c r="LW10" s="535"/>
      <c r="LX10" s="535"/>
      <c r="LY10" s="535"/>
      <c r="LZ10" s="535"/>
      <c r="MA10" s="535"/>
      <c r="MB10" s="535"/>
      <c r="MC10" s="535"/>
      <c r="MD10" s="535"/>
      <c r="ME10" s="535"/>
      <c r="MF10" s="535"/>
      <c r="MG10" s="535"/>
      <c r="MH10" s="535"/>
      <c r="MI10" s="535"/>
      <c r="MJ10" s="535"/>
      <c r="MK10" s="535"/>
      <c r="ML10" s="535"/>
      <c r="MM10" s="535"/>
      <c r="MN10" s="535"/>
      <c r="MO10" s="535"/>
      <c r="MP10" s="535"/>
      <c r="MQ10" s="535"/>
      <c r="MR10" s="535"/>
      <c r="MS10" s="535"/>
      <c r="MT10" s="535"/>
      <c r="MU10" s="535"/>
      <c r="MV10" s="535"/>
      <c r="MW10" s="535"/>
      <c r="MX10" s="535"/>
      <c r="MY10" s="535"/>
      <c r="MZ10" s="535"/>
      <c r="NA10" s="535"/>
      <c r="NB10" s="535"/>
      <c r="NC10" s="535"/>
      <c r="ND10" s="535"/>
      <c r="NE10" s="535"/>
      <c r="NF10" s="535"/>
      <c r="NG10" s="535"/>
      <c r="NH10" s="535"/>
      <c r="NI10" s="535"/>
      <c r="NJ10" s="535"/>
      <c r="NK10" s="535"/>
      <c r="NL10" s="535"/>
      <c r="NM10" s="535"/>
      <c r="NN10" s="535"/>
      <c r="NO10" s="535"/>
      <c r="NP10" s="535"/>
      <c r="NQ10" s="535"/>
      <c r="NR10" s="535"/>
      <c r="NS10" s="535"/>
      <c r="NT10" s="535"/>
      <c r="NU10" s="535"/>
      <c r="NV10" s="535"/>
      <c r="NW10" s="535"/>
      <c r="NX10" s="535"/>
      <c r="NY10" s="535"/>
      <c r="NZ10" s="535"/>
      <c r="OA10" s="535"/>
      <c r="OB10" s="535"/>
      <c r="OC10" s="535"/>
      <c r="OD10" s="535"/>
      <c r="OE10" s="535"/>
      <c r="OF10" s="535"/>
      <c r="OG10" s="535"/>
      <c r="OH10" s="535"/>
      <c r="OI10" s="535"/>
      <c r="OJ10" s="535"/>
      <c r="OK10" s="535"/>
      <c r="OL10" s="535"/>
      <c r="OM10" s="535"/>
      <c r="ON10" s="535"/>
      <c r="OO10" s="535"/>
      <c r="OP10" s="535"/>
      <c r="OQ10" s="535"/>
      <c r="OR10" s="535"/>
      <c r="OS10" s="535"/>
      <c r="OT10" s="535"/>
      <c r="OU10" s="535"/>
      <c r="OV10" s="535"/>
      <c r="OW10" s="535"/>
      <c r="OX10" s="535"/>
      <c r="OY10" s="535"/>
      <c r="OZ10" s="535"/>
      <c r="PA10" s="535"/>
      <c r="PB10" s="535"/>
      <c r="PC10" s="535"/>
      <c r="PD10" s="535"/>
      <c r="PE10" s="535"/>
      <c r="PF10" s="535"/>
      <c r="PG10" s="535"/>
      <c r="PH10" s="535"/>
      <c r="PI10" s="535"/>
      <c r="PJ10" s="535"/>
      <c r="PK10" s="535"/>
      <c r="PL10" s="535"/>
      <c r="PM10" s="535"/>
      <c r="PN10" s="535"/>
      <c r="PO10" s="535"/>
      <c r="PP10" s="535"/>
      <c r="PQ10" s="535"/>
      <c r="PR10" s="535"/>
      <c r="PS10" s="535"/>
      <c r="PT10" s="535"/>
      <c r="PU10" s="535"/>
      <c r="PV10" s="535"/>
      <c r="PW10" s="535"/>
      <c r="PX10" s="535"/>
      <c r="PY10" s="535"/>
      <c r="PZ10" s="535"/>
      <c r="QA10" s="535"/>
      <c r="QB10" s="535"/>
      <c r="QC10" s="535"/>
      <c r="QD10" s="535"/>
      <c r="QE10" s="535"/>
      <c r="QF10" s="535"/>
      <c r="QG10" s="535"/>
      <c r="QH10" s="535"/>
      <c r="QI10" s="535"/>
      <c r="QJ10" s="535"/>
      <c r="QK10" s="535"/>
      <c r="QL10" s="535"/>
      <c r="QM10" s="535"/>
      <c r="QN10" s="535"/>
      <c r="QO10" s="535"/>
      <c r="QP10" s="535"/>
      <c r="QQ10" s="535"/>
      <c r="QR10" s="535"/>
      <c r="QS10" s="535"/>
      <c r="QT10" s="535"/>
      <c r="QU10" s="535"/>
      <c r="QV10" s="535"/>
      <c r="QW10" s="535"/>
      <c r="QX10" s="535"/>
      <c r="QY10" s="535"/>
      <c r="QZ10" s="535"/>
      <c r="RA10" s="535"/>
      <c r="RB10" s="535"/>
      <c r="RC10" s="535"/>
      <c r="RD10" s="535"/>
      <c r="RE10" s="535"/>
      <c r="RF10" s="535"/>
      <c r="RG10" s="535"/>
      <c r="RH10" s="535"/>
      <c r="RI10" s="535"/>
      <c r="RJ10" s="535"/>
      <c r="RK10" s="535"/>
      <c r="RL10" s="535"/>
      <c r="RM10" s="535"/>
      <c r="RN10" s="535"/>
      <c r="RO10" s="535"/>
      <c r="RP10" s="535"/>
      <c r="RQ10" s="535"/>
      <c r="RR10" s="535"/>
      <c r="RS10" s="535"/>
      <c r="RT10" s="535"/>
      <c r="RU10" s="535"/>
      <c r="RV10" s="535"/>
      <c r="RW10" s="535"/>
      <c r="RX10" s="535"/>
    </row>
    <row r="11" spans="1:492" s="65" customFormat="1" ht="20.25" customHeight="1" thickBot="1">
      <c r="A11" s="547" t="s">
        <v>465</v>
      </c>
      <c r="B11" s="572" t="s">
        <v>466</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c r="AI11" s="425"/>
      <c r="AJ11" s="425"/>
      <c r="AK11" s="425"/>
      <c r="AL11" s="425"/>
      <c r="AM11" s="560"/>
      <c r="AN11" s="426"/>
      <c r="AO11" s="426"/>
      <c r="AP11" s="426"/>
      <c r="AQ11" s="561"/>
      <c r="AR11" s="426"/>
      <c r="AS11" s="426"/>
      <c r="AT11" s="426"/>
      <c r="AU11" s="426"/>
      <c r="AV11" s="427"/>
      <c r="AW11" s="426"/>
      <c r="AX11" s="426"/>
      <c r="AY11" s="426"/>
      <c r="AZ11" s="426"/>
      <c r="BA11" s="552"/>
      <c r="BB11" s="560">
        <f>BB20</f>
        <v>1026.7</v>
      </c>
      <c r="BC11" s="426">
        <f>SUM(BC12:BC13)</f>
        <v>1001.4999999999999</v>
      </c>
      <c r="BD11" s="426">
        <f t="shared" ref="BD11:BF11" si="12">SUM(BD12:BD13)</f>
        <v>1082.0999999999999</v>
      </c>
      <c r="BE11" s="426">
        <f t="shared" si="12"/>
        <v>1127.5</v>
      </c>
      <c r="BF11" s="561">
        <f t="shared" si="12"/>
        <v>4237.8</v>
      </c>
      <c r="BG11" s="426">
        <f t="shared" ref="BG11:BH11" si="13">SUM(BG12:BG13)</f>
        <v>1082.7</v>
      </c>
      <c r="BH11" s="426">
        <f t="shared" si="13"/>
        <v>1140.9000000000001</v>
      </c>
      <c r="BI11" s="426">
        <f>SUM(BI12:BI13)</f>
        <v>904.19999999999993</v>
      </c>
      <c r="BJ11" s="426">
        <f>SUM(BJ12:BJ13)</f>
        <v>891.19999999999993</v>
      </c>
      <c r="BK11" s="561">
        <f>SUM(BK12:BK13)</f>
        <v>4019</v>
      </c>
      <c r="BL11" s="426">
        <f>SUM(BL12:BL16)</f>
        <v>800.7</v>
      </c>
      <c r="BM11" s="759">
        <f>SUM(BM12:BM16)</f>
        <v>893.3</v>
      </c>
      <c r="BN11" s="426">
        <f t="shared" ref="BN11" si="14">SUM(BN12:BN16)</f>
        <v>839.59999999999968</v>
      </c>
      <c r="BO11" s="426">
        <f>SUM(BO12:BO16)</f>
        <v>818.5</v>
      </c>
      <c r="BP11" s="561">
        <f>SUM(BP12:BP16)</f>
        <v>3352.1</v>
      </c>
      <c r="BQ11" s="426">
        <f>SUM(BQ12:BQ16)</f>
        <v>761.2</v>
      </c>
      <c r="BR11" s="759">
        <f>SUM(BR12:BR16)</f>
        <v>798.5</v>
      </c>
      <c r="BS11" s="426">
        <f t="shared" ref="BS11:BT11" si="15">SUM(BS12:BS16)</f>
        <v>774.7</v>
      </c>
      <c r="BT11" s="426">
        <f t="shared" si="15"/>
        <v>677.09999999999991</v>
      </c>
      <c r="BU11" s="561">
        <f>SUM(BU12:BU16)</f>
        <v>3011.5</v>
      </c>
      <c r="BV11" s="426">
        <f>SUM(BV12:BV16)</f>
        <v>936.3</v>
      </c>
      <c r="BW11" s="759">
        <f>SUM(BW12:BW16)</f>
        <v>865</v>
      </c>
      <c r="BX11" s="426">
        <f t="shared" ref="BX11:BY11" si="16">SUM(BX12:BX16)</f>
        <v>0</v>
      </c>
      <c r="BY11" s="426">
        <f t="shared" si="16"/>
        <v>0</v>
      </c>
      <c r="BZ11" s="561">
        <f>SUM(BZ12:BZ16)</f>
        <v>1801.3</v>
      </c>
      <c r="CA11" s="11"/>
      <c r="CB11" s="944"/>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529" customFormat="1" ht="20.149999999999999" customHeight="1">
      <c r="A12" s="548" t="s">
        <v>455</v>
      </c>
      <c r="B12" s="573" t="s">
        <v>456</v>
      </c>
      <c r="C12" s="530"/>
      <c r="D12" s="530"/>
      <c r="E12" s="530"/>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530"/>
      <c r="AL12" s="530"/>
      <c r="AM12" s="562"/>
      <c r="AN12" s="531"/>
      <c r="AO12" s="531"/>
      <c r="AP12" s="531"/>
      <c r="AQ12" s="563"/>
      <c r="AR12" s="532"/>
      <c r="AS12" s="532"/>
      <c r="AT12" s="532"/>
      <c r="AU12" s="532"/>
      <c r="AV12" s="532"/>
      <c r="AW12" s="531"/>
      <c r="AX12" s="531"/>
      <c r="AY12" s="531"/>
      <c r="AZ12" s="531"/>
      <c r="BA12" s="531"/>
      <c r="BB12" s="569">
        <v>879.6</v>
      </c>
      <c r="BC12" s="533">
        <v>879.19999999999993</v>
      </c>
      <c r="BD12" s="533">
        <v>946.89999999999986</v>
      </c>
      <c r="BE12" s="533">
        <v>925.9</v>
      </c>
      <c r="BF12" s="558">
        <f>SUM(BB12:BE12)</f>
        <v>3631.6</v>
      </c>
      <c r="BG12" s="533">
        <v>936.6</v>
      </c>
      <c r="BH12" s="533">
        <v>951.80000000000007</v>
      </c>
      <c r="BI12" s="533">
        <v>786.3</v>
      </c>
      <c r="BJ12" s="533">
        <f>3389.7-SUM(BG12:BI12)</f>
        <v>715</v>
      </c>
      <c r="BK12" s="577">
        <f>SUM(BG12:BJ12)</f>
        <v>3389.7</v>
      </c>
      <c r="BL12" s="533">
        <v>704.1</v>
      </c>
      <c r="BM12" s="760">
        <f>1453.5-BL12</f>
        <v>749.4</v>
      </c>
      <c r="BN12" s="533">
        <f>2211.7-BM12-BL12</f>
        <v>758.1999999999997</v>
      </c>
      <c r="BO12" s="533">
        <f>2834-BN12-BM12-BL12</f>
        <v>622.30000000000007</v>
      </c>
      <c r="BP12" s="577">
        <f>SUM(BL12:BO12)</f>
        <v>2834</v>
      </c>
      <c r="BQ12" s="533">
        <f>BQ21</f>
        <v>663.2</v>
      </c>
      <c r="BR12" s="533">
        <f>BR21</f>
        <v>635</v>
      </c>
      <c r="BS12" s="533">
        <v>658.3</v>
      </c>
      <c r="BT12" s="533">
        <v>536.6</v>
      </c>
      <c r="BU12" s="577">
        <f>SUM(BQ12:BT12)</f>
        <v>2493.1</v>
      </c>
      <c r="BV12" s="533">
        <v>777.8</v>
      </c>
      <c r="BW12" s="533">
        <v>646.29999999999995</v>
      </c>
      <c r="BX12" s="533"/>
      <c r="BY12" s="533"/>
      <c r="BZ12" s="577">
        <f>SUM(BV12:BY12)</f>
        <v>1424.1</v>
      </c>
      <c r="CA12" s="528"/>
      <c r="CB12" s="944"/>
      <c r="CC12" s="944"/>
      <c r="CD12" s="528"/>
      <c r="CE12" s="528"/>
      <c r="CF12" s="528"/>
      <c r="CG12" s="528"/>
      <c r="CH12" s="528"/>
      <c r="CI12" s="528"/>
      <c r="CJ12" s="528"/>
      <c r="CK12" s="528"/>
      <c r="CL12" s="528"/>
      <c r="CM12" s="528"/>
      <c r="CN12" s="528"/>
      <c r="CO12" s="528"/>
      <c r="CP12" s="528"/>
      <c r="CQ12" s="528"/>
      <c r="CR12" s="528"/>
      <c r="CS12" s="528"/>
      <c r="CT12" s="528"/>
      <c r="CU12" s="528"/>
      <c r="CV12" s="528"/>
      <c r="CW12" s="528"/>
      <c r="CX12" s="528"/>
      <c r="CY12" s="528"/>
      <c r="CZ12" s="528"/>
      <c r="DA12" s="528"/>
      <c r="DB12" s="528"/>
      <c r="DC12" s="528"/>
      <c r="DD12" s="528"/>
      <c r="DE12" s="528"/>
      <c r="DF12" s="528"/>
      <c r="DG12" s="528"/>
      <c r="DH12" s="528"/>
      <c r="DI12" s="528"/>
      <c r="DJ12" s="528"/>
      <c r="DK12" s="528"/>
      <c r="DL12" s="528"/>
      <c r="DM12" s="528"/>
      <c r="DN12" s="528"/>
      <c r="DO12" s="528"/>
      <c r="DP12" s="528"/>
      <c r="DQ12" s="528"/>
      <c r="DR12" s="528"/>
      <c r="DS12" s="528"/>
      <c r="DT12" s="528"/>
      <c r="DU12" s="528"/>
      <c r="DV12" s="528"/>
      <c r="DW12" s="528"/>
      <c r="DX12" s="528"/>
      <c r="DY12" s="528"/>
      <c r="DZ12" s="528"/>
      <c r="EA12" s="528"/>
      <c r="EB12" s="528"/>
      <c r="EC12" s="528"/>
      <c r="ED12" s="528"/>
      <c r="EE12" s="528"/>
      <c r="EF12" s="528"/>
      <c r="EG12" s="528"/>
      <c r="EH12" s="528"/>
      <c r="EI12" s="528"/>
      <c r="EJ12" s="528"/>
      <c r="EK12" s="528"/>
      <c r="EL12" s="528"/>
      <c r="EM12" s="528"/>
      <c r="EN12" s="528"/>
      <c r="EO12" s="528"/>
      <c r="EP12" s="528"/>
      <c r="EQ12" s="528"/>
      <c r="ER12" s="528"/>
      <c r="ES12" s="528"/>
      <c r="ET12" s="528"/>
      <c r="EU12" s="528"/>
      <c r="EV12" s="528"/>
      <c r="EW12" s="528"/>
      <c r="EX12" s="528"/>
      <c r="EY12" s="528"/>
      <c r="EZ12" s="528"/>
      <c r="FA12" s="528"/>
      <c r="FB12" s="528"/>
      <c r="FC12" s="528"/>
      <c r="FD12" s="528"/>
      <c r="FE12" s="528"/>
      <c r="FF12" s="528"/>
      <c r="FG12" s="528"/>
      <c r="FH12" s="528"/>
      <c r="FI12" s="528"/>
      <c r="FJ12" s="528"/>
      <c r="FK12" s="528"/>
      <c r="FL12" s="528"/>
      <c r="FM12" s="528"/>
      <c r="FN12" s="528"/>
      <c r="FO12" s="528"/>
      <c r="FP12" s="528"/>
      <c r="FQ12" s="528"/>
      <c r="FR12" s="528"/>
      <c r="FS12" s="528"/>
      <c r="FT12" s="528"/>
      <c r="FU12" s="528"/>
      <c r="FV12" s="528"/>
      <c r="FW12" s="528"/>
      <c r="FX12" s="528"/>
      <c r="FY12" s="528"/>
      <c r="FZ12" s="528"/>
      <c r="GA12" s="528"/>
      <c r="GB12" s="528"/>
      <c r="GC12" s="528"/>
      <c r="GD12" s="528"/>
      <c r="GE12" s="528"/>
      <c r="GF12" s="528"/>
      <c r="GG12" s="528"/>
      <c r="GH12" s="528"/>
      <c r="GI12" s="528"/>
      <c r="GJ12" s="528"/>
      <c r="GK12" s="528"/>
      <c r="GL12" s="528"/>
      <c r="GM12" s="528"/>
      <c r="GN12" s="528"/>
      <c r="GO12" s="528"/>
      <c r="GP12" s="528"/>
      <c r="GQ12" s="528"/>
      <c r="GR12" s="528"/>
      <c r="GS12" s="528"/>
      <c r="GT12" s="528"/>
      <c r="GU12" s="528"/>
      <c r="GV12" s="528"/>
      <c r="GW12" s="528"/>
      <c r="GX12" s="528"/>
      <c r="GY12" s="528"/>
      <c r="GZ12" s="528"/>
      <c r="HA12" s="528"/>
      <c r="HB12" s="528"/>
      <c r="HC12" s="528"/>
      <c r="HD12" s="528"/>
      <c r="HE12" s="528"/>
      <c r="HF12" s="528"/>
      <c r="HG12" s="528"/>
      <c r="HH12" s="528"/>
      <c r="HI12" s="528"/>
      <c r="HJ12" s="528"/>
      <c r="HK12" s="528"/>
      <c r="HL12" s="528"/>
      <c r="HM12" s="528"/>
      <c r="HN12" s="528"/>
      <c r="HO12" s="528"/>
      <c r="HP12" s="528"/>
      <c r="HQ12" s="528"/>
      <c r="HR12" s="528"/>
      <c r="HS12" s="528"/>
      <c r="HT12" s="528"/>
      <c r="HU12" s="528"/>
      <c r="HV12" s="528"/>
      <c r="HW12" s="528"/>
      <c r="HX12" s="528"/>
      <c r="HY12" s="528"/>
      <c r="HZ12" s="528"/>
      <c r="IA12" s="528"/>
      <c r="IB12" s="528"/>
      <c r="IC12" s="528"/>
      <c r="ID12" s="528"/>
      <c r="IE12" s="528"/>
      <c r="IF12" s="528"/>
      <c r="IG12" s="528"/>
      <c r="IH12" s="528"/>
      <c r="II12" s="528"/>
      <c r="IJ12" s="528"/>
      <c r="IK12" s="528"/>
      <c r="IL12" s="528"/>
      <c r="IM12" s="528"/>
      <c r="IN12" s="528"/>
      <c r="IO12" s="528"/>
      <c r="IP12" s="528"/>
      <c r="IQ12" s="528"/>
      <c r="IR12" s="528"/>
      <c r="IS12" s="528"/>
      <c r="IT12" s="528"/>
      <c r="IU12" s="528"/>
      <c r="IV12" s="528"/>
      <c r="IW12" s="528"/>
      <c r="IX12" s="528"/>
      <c r="IY12" s="528"/>
      <c r="IZ12" s="528"/>
      <c r="JA12" s="528"/>
      <c r="JB12" s="528"/>
      <c r="JC12" s="528"/>
      <c r="JD12" s="528"/>
      <c r="JE12" s="528"/>
      <c r="JF12" s="528"/>
      <c r="JG12" s="528"/>
      <c r="JH12" s="528"/>
      <c r="JI12" s="528"/>
      <c r="JJ12" s="528"/>
      <c r="JK12" s="528"/>
      <c r="JL12" s="528"/>
      <c r="JM12" s="528"/>
      <c r="JN12" s="528"/>
      <c r="JO12" s="528"/>
      <c r="JP12" s="528"/>
      <c r="JQ12" s="528"/>
      <c r="JR12" s="528"/>
      <c r="JS12" s="528"/>
      <c r="JT12" s="528"/>
      <c r="JU12" s="528"/>
      <c r="JV12" s="528"/>
      <c r="JW12" s="528"/>
      <c r="JX12" s="528"/>
      <c r="JY12" s="528"/>
      <c r="JZ12" s="528"/>
      <c r="KA12" s="528"/>
      <c r="KB12" s="528"/>
      <c r="KC12" s="528"/>
      <c r="KD12" s="528"/>
      <c r="KE12" s="528"/>
      <c r="KF12" s="528"/>
      <c r="KG12" s="528"/>
      <c r="KH12" s="528"/>
      <c r="KI12" s="528"/>
      <c r="KJ12" s="528"/>
      <c r="KK12" s="528"/>
      <c r="KL12" s="528"/>
      <c r="KM12" s="528"/>
      <c r="KN12" s="528"/>
      <c r="KO12" s="528"/>
      <c r="KP12" s="528"/>
      <c r="KQ12" s="528"/>
      <c r="KR12" s="528"/>
      <c r="KS12" s="528"/>
      <c r="KT12" s="528"/>
      <c r="KU12" s="528"/>
      <c r="KV12" s="528"/>
      <c r="KW12" s="528"/>
      <c r="KX12" s="528"/>
      <c r="KY12" s="528"/>
      <c r="KZ12" s="528"/>
      <c r="LA12" s="528"/>
      <c r="LB12" s="528"/>
      <c r="LC12" s="528"/>
      <c r="LD12" s="528"/>
      <c r="LE12" s="528"/>
      <c r="LF12" s="528"/>
      <c r="LG12" s="528"/>
      <c r="LH12" s="528"/>
      <c r="LI12" s="528"/>
      <c r="LJ12" s="528"/>
      <c r="LK12" s="528"/>
      <c r="LL12" s="528"/>
      <c r="LM12" s="528"/>
      <c r="LN12" s="528"/>
      <c r="LO12" s="528"/>
      <c r="LP12" s="528"/>
      <c r="LQ12" s="528"/>
      <c r="LR12" s="528"/>
      <c r="LS12" s="528"/>
      <c r="LT12" s="528"/>
      <c r="LU12" s="528"/>
      <c r="LV12" s="528"/>
      <c r="LW12" s="528"/>
      <c r="LX12" s="528"/>
      <c r="LY12" s="528"/>
      <c r="LZ12" s="528"/>
      <c r="MA12" s="528"/>
      <c r="MB12" s="528"/>
      <c r="MC12" s="528"/>
      <c r="MD12" s="528"/>
      <c r="ME12" s="528"/>
      <c r="MF12" s="528"/>
      <c r="MG12" s="528"/>
      <c r="MH12" s="528"/>
      <c r="MI12" s="528"/>
      <c r="MJ12" s="528"/>
      <c r="MK12" s="528"/>
      <c r="ML12" s="528"/>
      <c r="MM12" s="528"/>
      <c r="MN12" s="528"/>
      <c r="MO12" s="528"/>
      <c r="MP12" s="528"/>
      <c r="MQ12" s="528"/>
      <c r="MR12" s="528"/>
      <c r="MS12" s="528"/>
      <c r="MT12" s="528"/>
      <c r="MU12" s="528"/>
      <c r="MV12" s="528"/>
      <c r="MW12" s="528"/>
      <c r="MX12" s="528"/>
      <c r="MY12" s="528"/>
      <c r="MZ12" s="528"/>
      <c r="NA12" s="528"/>
      <c r="NB12" s="528"/>
      <c r="NC12" s="528"/>
      <c r="ND12" s="528"/>
      <c r="NE12" s="528"/>
      <c r="NF12" s="528"/>
      <c r="NG12" s="528"/>
      <c r="NH12" s="528"/>
      <c r="NI12" s="528"/>
      <c r="NJ12" s="528"/>
      <c r="NK12" s="528"/>
      <c r="NL12" s="528"/>
      <c r="NM12" s="528"/>
      <c r="NN12" s="528"/>
      <c r="NO12" s="528"/>
      <c r="NP12" s="528"/>
      <c r="NQ12" s="528"/>
      <c r="NR12" s="528"/>
      <c r="NS12" s="528"/>
      <c r="NT12" s="528"/>
      <c r="NU12" s="528"/>
      <c r="NV12" s="528"/>
      <c r="NW12" s="528"/>
      <c r="NX12" s="528"/>
      <c r="NY12" s="528"/>
      <c r="NZ12" s="528"/>
      <c r="OA12" s="528"/>
      <c r="OB12" s="528"/>
      <c r="OC12" s="528"/>
      <c r="OD12" s="528"/>
      <c r="OE12" s="528"/>
      <c r="OF12" s="528"/>
      <c r="OG12" s="528"/>
      <c r="OH12" s="528"/>
      <c r="OI12" s="528"/>
      <c r="OJ12" s="528"/>
      <c r="OK12" s="528"/>
      <c r="OL12" s="528"/>
      <c r="OM12" s="528"/>
      <c r="ON12" s="528"/>
      <c r="OO12" s="528"/>
      <c r="OP12" s="528"/>
      <c r="OQ12" s="528"/>
      <c r="OR12" s="528"/>
      <c r="OS12" s="528"/>
      <c r="OT12" s="528"/>
      <c r="OU12" s="528"/>
      <c r="OV12" s="528"/>
      <c r="OW12" s="528"/>
      <c r="OX12" s="528"/>
      <c r="OY12" s="528"/>
      <c r="OZ12" s="528"/>
      <c r="PA12" s="528"/>
      <c r="PB12" s="528"/>
      <c r="PC12" s="528"/>
      <c r="PD12" s="528"/>
      <c r="PE12" s="528"/>
      <c r="PF12" s="528"/>
      <c r="PG12" s="528"/>
      <c r="PH12" s="528"/>
      <c r="PI12" s="528"/>
      <c r="PJ12" s="528"/>
      <c r="PK12" s="528"/>
      <c r="PL12" s="528"/>
      <c r="PM12" s="528"/>
      <c r="PN12" s="528"/>
      <c r="PO12" s="528"/>
      <c r="PP12" s="528"/>
      <c r="PQ12" s="528"/>
      <c r="PR12" s="528"/>
      <c r="PS12" s="528"/>
      <c r="PT12" s="528"/>
      <c r="PU12" s="528"/>
      <c r="PV12" s="528"/>
      <c r="PW12" s="528"/>
      <c r="PX12" s="528"/>
      <c r="PY12" s="528"/>
      <c r="PZ12" s="528"/>
      <c r="QA12" s="528"/>
      <c r="QB12" s="528"/>
      <c r="QC12" s="528"/>
      <c r="QD12" s="528"/>
      <c r="QE12" s="528"/>
      <c r="QF12" s="528"/>
      <c r="QG12" s="528"/>
      <c r="QH12" s="528"/>
      <c r="QI12" s="528"/>
      <c r="QJ12" s="528"/>
      <c r="QK12" s="528"/>
      <c r="QL12" s="528"/>
      <c r="QM12" s="528"/>
      <c r="QN12" s="528"/>
      <c r="QO12" s="528"/>
      <c r="QP12" s="528"/>
      <c r="QQ12" s="528"/>
      <c r="QR12" s="528"/>
      <c r="QS12" s="528"/>
      <c r="QT12" s="528"/>
      <c r="QU12" s="528"/>
      <c r="QV12" s="528"/>
      <c r="QW12" s="528"/>
      <c r="QX12" s="528"/>
      <c r="QY12" s="528"/>
      <c r="QZ12" s="528"/>
      <c r="RA12" s="528"/>
      <c r="RB12" s="528"/>
      <c r="RC12" s="528"/>
      <c r="RD12" s="528"/>
      <c r="RE12" s="528"/>
      <c r="RF12" s="528"/>
      <c r="RG12" s="528"/>
      <c r="RH12" s="528"/>
      <c r="RI12" s="528"/>
      <c r="RJ12" s="528"/>
      <c r="RK12" s="528"/>
      <c r="RL12" s="528"/>
      <c r="RM12" s="528"/>
      <c r="RN12" s="528"/>
      <c r="RO12" s="528"/>
      <c r="RP12" s="528"/>
      <c r="RQ12" s="528"/>
      <c r="RR12" s="528"/>
      <c r="RS12" s="528"/>
      <c r="RT12" s="528"/>
      <c r="RU12" s="528"/>
      <c r="RV12" s="528"/>
      <c r="RW12" s="528"/>
      <c r="RX12" s="528"/>
    </row>
    <row r="13" spans="1:492" s="529" customFormat="1" ht="20.149999999999999" customHeight="1">
      <c r="A13" s="548" t="s">
        <v>457</v>
      </c>
      <c r="B13" s="573" t="s">
        <v>458</v>
      </c>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62"/>
      <c r="AN13" s="531"/>
      <c r="AO13" s="531"/>
      <c r="AP13" s="531"/>
      <c r="AQ13" s="563"/>
      <c r="AR13" s="532"/>
      <c r="AS13" s="532"/>
      <c r="AT13" s="532"/>
      <c r="AU13" s="532"/>
      <c r="AV13" s="532"/>
      <c r="AW13" s="531"/>
      <c r="AX13" s="531"/>
      <c r="AY13" s="531"/>
      <c r="AZ13" s="531"/>
      <c r="BA13" s="531"/>
      <c r="BB13" s="569">
        <v>147.1</v>
      </c>
      <c r="BC13" s="533">
        <v>122.29999999999998</v>
      </c>
      <c r="BD13" s="533">
        <v>135.20000000000005</v>
      </c>
      <c r="BE13" s="533">
        <v>201.6</v>
      </c>
      <c r="BF13" s="558">
        <f t="shared" ref="BF13" si="17">SUM(BB13:BE13)</f>
        <v>606.20000000000005</v>
      </c>
      <c r="BG13" s="533">
        <v>146.1</v>
      </c>
      <c r="BH13" s="533">
        <v>189.1</v>
      </c>
      <c r="BI13" s="533">
        <v>117.9</v>
      </c>
      <c r="BJ13" s="533">
        <f>629.3-SUM(BG13:BI13)</f>
        <v>176.19999999999993</v>
      </c>
      <c r="BK13" s="577">
        <f t="shared" ref="BK13:BK18" si="18">SUM(BG13:BJ13)</f>
        <v>629.29999999999995</v>
      </c>
      <c r="BL13" s="533">
        <v>96.6</v>
      </c>
      <c r="BM13" s="760">
        <f>239-BL13</f>
        <v>142.4</v>
      </c>
      <c r="BN13" s="533">
        <f>315.8-BM13-BL13</f>
        <v>76.800000000000011</v>
      </c>
      <c r="BO13" s="533">
        <f>506-BN13-BM13-BL13</f>
        <v>190.19999999999996</v>
      </c>
      <c r="BP13" s="577">
        <f t="shared" ref="BP13:BP19" si="19">SUM(BL13:BO13)</f>
        <v>506</v>
      </c>
      <c r="BQ13" s="533">
        <f t="shared" ref="BQ13:BR13" si="20">BQ22</f>
        <v>92.5</v>
      </c>
      <c r="BR13" s="533">
        <f t="shared" si="20"/>
        <v>156.69999999999999</v>
      </c>
      <c r="BS13" s="533">
        <v>83.100000000000023</v>
      </c>
      <c r="BT13" s="533">
        <v>139.69999999999999</v>
      </c>
      <c r="BU13" s="577">
        <f t="shared" ref="BU13:BU19" si="21">SUM(BQ13:BT13)</f>
        <v>472</v>
      </c>
      <c r="BV13" s="533">
        <v>100.19999999999999</v>
      </c>
      <c r="BW13" s="533">
        <v>145.19999999999999</v>
      </c>
      <c r="BX13" s="533"/>
      <c r="BY13" s="533"/>
      <c r="BZ13" s="577">
        <f t="shared" ref="BZ13:BZ19" si="22">SUM(BV13:BY13)</f>
        <v>245.39999999999998</v>
      </c>
      <c r="CA13" s="528"/>
      <c r="CB13" s="944"/>
      <c r="CC13" s="944"/>
      <c r="CD13" s="528"/>
      <c r="CE13" s="528"/>
      <c r="CF13" s="528"/>
      <c r="CG13" s="528"/>
      <c r="CH13" s="528"/>
      <c r="CI13" s="528"/>
      <c r="CJ13" s="528"/>
      <c r="CK13" s="528"/>
      <c r="CL13" s="528"/>
      <c r="CM13" s="528"/>
      <c r="CN13" s="528"/>
      <c r="CO13" s="528"/>
      <c r="CP13" s="528"/>
      <c r="CQ13" s="528"/>
      <c r="CR13" s="528"/>
      <c r="CS13" s="528"/>
      <c r="CT13" s="528"/>
      <c r="CU13" s="528"/>
      <c r="CV13" s="528"/>
      <c r="CW13" s="528"/>
      <c r="CX13" s="528"/>
      <c r="CY13" s="528"/>
      <c r="CZ13" s="528"/>
      <c r="DA13" s="528"/>
      <c r="DB13" s="528"/>
      <c r="DC13" s="528"/>
      <c r="DD13" s="528"/>
      <c r="DE13" s="528"/>
      <c r="DF13" s="528"/>
      <c r="DG13" s="528"/>
      <c r="DH13" s="528"/>
      <c r="DI13" s="528"/>
      <c r="DJ13" s="528"/>
      <c r="DK13" s="528"/>
      <c r="DL13" s="528"/>
      <c r="DM13" s="528"/>
      <c r="DN13" s="528"/>
      <c r="DO13" s="528"/>
      <c r="DP13" s="528"/>
      <c r="DQ13" s="528"/>
      <c r="DR13" s="528"/>
      <c r="DS13" s="528"/>
      <c r="DT13" s="528"/>
      <c r="DU13" s="528"/>
      <c r="DV13" s="528"/>
      <c r="DW13" s="528"/>
      <c r="DX13" s="528"/>
      <c r="DY13" s="528"/>
      <c r="DZ13" s="528"/>
      <c r="EA13" s="528"/>
      <c r="EB13" s="528"/>
      <c r="EC13" s="528"/>
      <c r="ED13" s="528"/>
      <c r="EE13" s="528"/>
      <c r="EF13" s="528"/>
      <c r="EG13" s="528"/>
      <c r="EH13" s="528"/>
      <c r="EI13" s="528"/>
      <c r="EJ13" s="528"/>
      <c r="EK13" s="528"/>
      <c r="EL13" s="528"/>
      <c r="EM13" s="528"/>
      <c r="EN13" s="528"/>
      <c r="EO13" s="528"/>
      <c r="EP13" s="528"/>
      <c r="EQ13" s="528"/>
      <c r="ER13" s="528"/>
      <c r="ES13" s="528"/>
      <c r="ET13" s="528"/>
      <c r="EU13" s="528"/>
      <c r="EV13" s="528"/>
      <c r="EW13" s="528"/>
      <c r="EX13" s="528"/>
      <c r="EY13" s="528"/>
      <c r="EZ13" s="528"/>
      <c r="FA13" s="528"/>
      <c r="FB13" s="528"/>
      <c r="FC13" s="528"/>
      <c r="FD13" s="528"/>
      <c r="FE13" s="528"/>
      <c r="FF13" s="528"/>
      <c r="FG13" s="528"/>
      <c r="FH13" s="528"/>
      <c r="FI13" s="528"/>
      <c r="FJ13" s="528"/>
      <c r="FK13" s="528"/>
      <c r="FL13" s="528"/>
      <c r="FM13" s="528"/>
      <c r="FN13" s="528"/>
      <c r="FO13" s="528"/>
      <c r="FP13" s="528"/>
      <c r="FQ13" s="528"/>
      <c r="FR13" s="528"/>
      <c r="FS13" s="528"/>
      <c r="FT13" s="528"/>
      <c r="FU13" s="528"/>
      <c r="FV13" s="528"/>
      <c r="FW13" s="528"/>
      <c r="FX13" s="528"/>
      <c r="FY13" s="528"/>
      <c r="FZ13" s="528"/>
      <c r="GA13" s="528"/>
      <c r="GB13" s="528"/>
      <c r="GC13" s="528"/>
      <c r="GD13" s="528"/>
      <c r="GE13" s="528"/>
      <c r="GF13" s="528"/>
      <c r="GG13" s="528"/>
      <c r="GH13" s="528"/>
      <c r="GI13" s="528"/>
      <c r="GJ13" s="528"/>
      <c r="GK13" s="528"/>
      <c r="GL13" s="528"/>
      <c r="GM13" s="528"/>
      <c r="GN13" s="528"/>
      <c r="GO13" s="528"/>
      <c r="GP13" s="528"/>
      <c r="GQ13" s="528"/>
      <c r="GR13" s="528"/>
      <c r="GS13" s="528"/>
      <c r="GT13" s="528"/>
      <c r="GU13" s="528"/>
      <c r="GV13" s="528"/>
      <c r="GW13" s="528"/>
      <c r="GX13" s="528"/>
      <c r="GY13" s="528"/>
      <c r="GZ13" s="528"/>
      <c r="HA13" s="528"/>
      <c r="HB13" s="528"/>
      <c r="HC13" s="528"/>
      <c r="HD13" s="528"/>
      <c r="HE13" s="528"/>
      <c r="HF13" s="528"/>
      <c r="HG13" s="528"/>
      <c r="HH13" s="528"/>
      <c r="HI13" s="528"/>
      <c r="HJ13" s="528"/>
      <c r="HK13" s="528"/>
      <c r="HL13" s="528"/>
      <c r="HM13" s="528"/>
      <c r="HN13" s="528"/>
      <c r="HO13" s="528"/>
      <c r="HP13" s="528"/>
      <c r="HQ13" s="528"/>
      <c r="HR13" s="528"/>
      <c r="HS13" s="528"/>
      <c r="HT13" s="528"/>
      <c r="HU13" s="528"/>
      <c r="HV13" s="528"/>
      <c r="HW13" s="528"/>
      <c r="HX13" s="528"/>
      <c r="HY13" s="528"/>
      <c r="HZ13" s="528"/>
      <c r="IA13" s="528"/>
      <c r="IB13" s="528"/>
      <c r="IC13" s="528"/>
      <c r="ID13" s="528"/>
      <c r="IE13" s="528"/>
      <c r="IF13" s="528"/>
      <c r="IG13" s="528"/>
      <c r="IH13" s="528"/>
      <c r="II13" s="528"/>
      <c r="IJ13" s="528"/>
      <c r="IK13" s="528"/>
      <c r="IL13" s="528"/>
      <c r="IM13" s="528"/>
      <c r="IN13" s="528"/>
      <c r="IO13" s="528"/>
      <c r="IP13" s="528"/>
      <c r="IQ13" s="528"/>
      <c r="IR13" s="528"/>
      <c r="IS13" s="528"/>
      <c r="IT13" s="528"/>
      <c r="IU13" s="528"/>
      <c r="IV13" s="528"/>
      <c r="IW13" s="528"/>
      <c r="IX13" s="528"/>
      <c r="IY13" s="528"/>
      <c r="IZ13" s="528"/>
      <c r="JA13" s="528"/>
      <c r="JB13" s="528"/>
      <c r="JC13" s="528"/>
      <c r="JD13" s="528"/>
      <c r="JE13" s="528"/>
      <c r="JF13" s="528"/>
      <c r="JG13" s="528"/>
      <c r="JH13" s="528"/>
      <c r="JI13" s="528"/>
      <c r="JJ13" s="528"/>
      <c r="JK13" s="528"/>
      <c r="JL13" s="528"/>
      <c r="JM13" s="528"/>
      <c r="JN13" s="528"/>
      <c r="JO13" s="528"/>
      <c r="JP13" s="528"/>
      <c r="JQ13" s="528"/>
      <c r="JR13" s="528"/>
      <c r="JS13" s="528"/>
      <c r="JT13" s="528"/>
      <c r="JU13" s="528"/>
      <c r="JV13" s="528"/>
      <c r="JW13" s="528"/>
      <c r="JX13" s="528"/>
      <c r="JY13" s="528"/>
      <c r="JZ13" s="528"/>
      <c r="KA13" s="528"/>
      <c r="KB13" s="528"/>
      <c r="KC13" s="528"/>
      <c r="KD13" s="528"/>
      <c r="KE13" s="528"/>
      <c r="KF13" s="528"/>
      <c r="KG13" s="528"/>
      <c r="KH13" s="528"/>
      <c r="KI13" s="528"/>
      <c r="KJ13" s="528"/>
      <c r="KK13" s="528"/>
      <c r="KL13" s="528"/>
      <c r="KM13" s="528"/>
      <c r="KN13" s="528"/>
      <c r="KO13" s="528"/>
      <c r="KP13" s="528"/>
      <c r="KQ13" s="528"/>
      <c r="KR13" s="528"/>
      <c r="KS13" s="528"/>
      <c r="KT13" s="528"/>
      <c r="KU13" s="528"/>
      <c r="KV13" s="528"/>
      <c r="KW13" s="528"/>
      <c r="KX13" s="528"/>
      <c r="KY13" s="528"/>
      <c r="KZ13" s="528"/>
      <c r="LA13" s="528"/>
      <c r="LB13" s="528"/>
      <c r="LC13" s="528"/>
      <c r="LD13" s="528"/>
      <c r="LE13" s="528"/>
      <c r="LF13" s="528"/>
      <c r="LG13" s="528"/>
      <c r="LH13" s="528"/>
      <c r="LI13" s="528"/>
      <c r="LJ13" s="528"/>
      <c r="LK13" s="528"/>
      <c r="LL13" s="528"/>
      <c r="LM13" s="528"/>
      <c r="LN13" s="528"/>
      <c r="LO13" s="528"/>
      <c r="LP13" s="528"/>
      <c r="LQ13" s="528"/>
      <c r="LR13" s="528"/>
      <c r="LS13" s="528"/>
      <c r="LT13" s="528"/>
      <c r="LU13" s="528"/>
      <c r="LV13" s="528"/>
      <c r="LW13" s="528"/>
      <c r="LX13" s="528"/>
      <c r="LY13" s="528"/>
      <c r="LZ13" s="528"/>
      <c r="MA13" s="528"/>
      <c r="MB13" s="528"/>
      <c r="MC13" s="528"/>
      <c r="MD13" s="528"/>
      <c r="ME13" s="528"/>
      <c r="MF13" s="528"/>
      <c r="MG13" s="528"/>
      <c r="MH13" s="528"/>
      <c r="MI13" s="528"/>
      <c r="MJ13" s="528"/>
      <c r="MK13" s="528"/>
      <c r="ML13" s="528"/>
      <c r="MM13" s="528"/>
      <c r="MN13" s="528"/>
      <c r="MO13" s="528"/>
      <c r="MP13" s="528"/>
      <c r="MQ13" s="528"/>
      <c r="MR13" s="528"/>
      <c r="MS13" s="528"/>
      <c r="MT13" s="528"/>
      <c r="MU13" s="528"/>
      <c r="MV13" s="528"/>
      <c r="MW13" s="528"/>
      <c r="MX13" s="528"/>
      <c r="MY13" s="528"/>
      <c r="MZ13" s="528"/>
      <c r="NA13" s="528"/>
      <c r="NB13" s="528"/>
      <c r="NC13" s="528"/>
      <c r="ND13" s="528"/>
      <c r="NE13" s="528"/>
      <c r="NF13" s="528"/>
      <c r="NG13" s="528"/>
      <c r="NH13" s="528"/>
      <c r="NI13" s="528"/>
      <c r="NJ13" s="528"/>
      <c r="NK13" s="528"/>
      <c r="NL13" s="528"/>
      <c r="NM13" s="528"/>
      <c r="NN13" s="528"/>
      <c r="NO13" s="528"/>
      <c r="NP13" s="528"/>
      <c r="NQ13" s="528"/>
      <c r="NR13" s="528"/>
      <c r="NS13" s="528"/>
      <c r="NT13" s="528"/>
      <c r="NU13" s="528"/>
      <c r="NV13" s="528"/>
      <c r="NW13" s="528"/>
      <c r="NX13" s="528"/>
      <c r="NY13" s="528"/>
      <c r="NZ13" s="528"/>
      <c r="OA13" s="528"/>
      <c r="OB13" s="528"/>
      <c r="OC13" s="528"/>
      <c r="OD13" s="528"/>
      <c r="OE13" s="528"/>
      <c r="OF13" s="528"/>
      <c r="OG13" s="528"/>
      <c r="OH13" s="528"/>
      <c r="OI13" s="528"/>
      <c r="OJ13" s="528"/>
      <c r="OK13" s="528"/>
      <c r="OL13" s="528"/>
      <c r="OM13" s="528"/>
      <c r="ON13" s="528"/>
      <c r="OO13" s="528"/>
      <c r="OP13" s="528"/>
      <c r="OQ13" s="528"/>
      <c r="OR13" s="528"/>
      <c r="OS13" s="528"/>
      <c r="OT13" s="528"/>
      <c r="OU13" s="528"/>
      <c r="OV13" s="528"/>
      <c r="OW13" s="528"/>
      <c r="OX13" s="528"/>
      <c r="OY13" s="528"/>
      <c r="OZ13" s="528"/>
      <c r="PA13" s="528"/>
      <c r="PB13" s="528"/>
      <c r="PC13" s="528"/>
      <c r="PD13" s="528"/>
      <c r="PE13" s="528"/>
      <c r="PF13" s="528"/>
      <c r="PG13" s="528"/>
      <c r="PH13" s="528"/>
      <c r="PI13" s="528"/>
      <c r="PJ13" s="528"/>
      <c r="PK13" s="528"/>
      <c r="PL13" s="528"/>
      <c r="PM13" s="528"/>
      <c r="PN13" s="528"/>
      <c r="PO13" s="528"/>
      <c r="PP13" s="528"/>
      <c r="PQ13" s="528"/>
      <c r="PR13" s="528"/>
      <c r="PS13" s="528"/>
      <c r="PT13" s="528"/>
      <c r="PU13" s="528"/>
      <c r="PV13" s="528"/>
      <c r="PW13" s="528"/>
      <c r="PX13" s="528"/>
      <c r="PY13" s="528"/>
      <c r="PZ13" s="528"/>
      <c r="QA13" s="528"/>
      <c r="QB13" s="528"/>
      <c r="QC13" s="528"/>
      <c r="QD13" s="528"/>
      <c r="QE13" s="528"/>
      <c r="QF13" s="528"/>
      <c r="QG13" s="528"/>
      <c r="QH13" s="528"/>
      <c r="QI13" s="528"/>
      <c r="QJ13" s="528"/>
      <c r="QK13" s="528"/>
      <c r="QL13" s="528"/>
      <c r="QM13" s="528"/>
      <c r="QN13" s="528"/>
      <c r="QO13" s="528"/>
      <c r="QP13" s="528"/>
      <c r="QQ13" s="528"/>
      <c r="QR13" s="528"/>
      <c r="QS13" s="528"/>
      <c r="QT13" s="528"/>
      <c r="QU13" s="528"/>
      <c r="QV13" s="528"/>
      <c r="QW13" s="528"/>
      <c r="QX13" s="528"/>
      <c r="QY13" s="528"/>
      <c r="QZ13" s="528"/>
      <c r="RA13" s="528"/>
      <c r="RB13" s="528"/>
      <c r="RC13" s="528"/>
      <c r="RD13" s="528"/>
      <c r="RE13" s="528"/>
      <c r="RF13" s="528"/>
      <c r="RG13" s="528"/>
      <c r="RH13" s="528"/>
      <c r="RI13" s="528"/>
      <c r="RJ13" s="528"/>
      <c r="RK13" s="528"/>
      <c r="RL13" s="528"/>
      <c r="RM13" s="528"/>
      <c r="RN13" s="528"/>
      <c r="RO13" s="528"/>
      <c r="RP13" s="528"/>
      <c r="RQ13" s="528"/>
      <c r="RR13" s="528"/>
      <c r="RS13" s="528"/>
      <c r="RT13" s="528"/>
      <c r="RU13" s="528"/>
      <c r="RV13" s="528"/>
      <c r="RW13" s="528"/>
      <c r="RX13" s="528"/>
    </row>
    <row r="14" spans="1:492" s="529" customFormat="1" ht="20.149999999999999" customHeight="1">
      <c r="A14" s="548" t="s">
        <v>467</v>
      </c>
      <c r="B14" s="573" t="s">
        <v>460</v>
      </c>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62"/>
      <c r="AN14" s="531"/>
      <c r="AO14" s="531"/>
      <c r="AP14" s="531"/>
      <c r="AQ14" s="563"/>
      <c r="AR14" s="532"/>
      <c r="AS14" s="532"/>
      <c r="AT14" s="532"/>
      <c r="AU14" s="532"/>
      <c r="AV14" s="532"/>
      <c r="AW14" s="531"/>
      <c r="AX14" s="531"/>
      <c r="AY14" s="531"/>
      <c r="AZ14" s="531"/>
      <c r="BA14" s="531"/>
      <c r="BB14" s="569"/>
      <c r="BC14" s="533"/>
      <c r="BD14" s="533"/>
      <c r="BE14" s="533"/>
      <c r="BF14" s="558"/>
      <c r="BG14" s="533"/>
      <c r="BH14" s="533"/>
      <c r="BI14" s="533"/>
      <c r="BJ14" s="533"/>
      <c r="BK14" s="577"/>
      <c r="BL14" s="747">
        <v>0</v>
      </c>
      <c r="BM14" s="760">
        <v>3.7</v>
      </c>
      <c r="BN14" s="533">
        <f>14-BM14-BL14</f>
        <v>10.3</v>
      </c>
      <c r="BO14" s="533">
        <f>17.2-BN14-BM14</f>
        <v>3.1999999999999984</v>
      </c>
      <c r="BP14" s="577">
        <f t="shared" si="19"/>
        <v>17.2</v>
      </c>
      <c r="BQ14" s="533">
        <f t="shared" ref="BQ14:BR14" si="23">BQ23</f>
        <v>7</v>
      </c>
      <c r="BR14" s="533">
        <f t="shared" si="23"/>
        <v>6</v>
      </c>
      <c r="BS14" s="533">
        <v>8.6999999999999993</v>
      </c>
      <c r="BT14" s="533">
        <v>5.3</v>
      </c>
      <c r="BU14" s="577">
        <f t="shared" si="21"/>
        <v>27</v>
      </c>
      <c r="BV14" s="533">
        <v>9</v>
      </c>
      <c r="BW14" s="533">
        <v>2.0999999999999996</v>
      </c>
      <c r="BX14" s="533"/>
      <c r="BY14" s="533"/>
      <c r="BZ14" s="577">
        <f t="shared" si="22"/>
        <v>11.1</v>
      </c>
      <c r="CA14" s="528"/>
      <c r="CB14" s="944"/>
      <c r="CC14" s="944"/>
      <c r="CD14" s="528"/>
      <c r="CE14" s="528"/>
      <c r="CF14" s="528"/>
      <c r="CG14" s="528"/>
      <c r="CH14" s="528"/>
      <c r="CI14" s="528"/>
      <c r="CJ14" s="528"/>
      <c r="CK14" s="528"/>
      <c r="CL14" s="528"/>
      <c r="CM14" s="528"/>
      <c r="CN14" s="528"/>
      <c r="CO14" s="528"/>
      <c r="CP14" s="528"/>
      <c r="CQ14" s="528"/>
      <c r="CR14" s="528"/>
      <c r="CS14" s="528"/>
      <c r="CT14" s="528"/>
      <c r="CU14" s="528"/>
      <c r="CV14" s="528"/>
      <c r="CW14" s="528"/>
      <c r="CX14" s="528"/>
      <c r="CY14" s="528"/>
      <c r="CZ14" s="528"/>
      <c r="DA14" s="528"/>
      <c r="DB14" s="528"/>
      <c r="DC14" s="528"/>
      <c r="DD14" s="528"/>
      <c r="DE14" s="528"/>
      <c r="DF14" s="528"/>
      <c r="DG14" s="528"/>
      <c r="DH14" s="528"/>
      <c r="DI14" s="528"/>
      <c r="DJ14" s="528"/>
      <c r="DK14" s="528"/>
      <c r="DL14" s="528"/>
      <c r="DM14" s="528"/>
      <c r="DN14" s="528"/>
      <c r="DO14" s="528"/>
      <c r="DP14" s="528"/>
      <c r="DQ14" s="528"/>
      <c r="DR14" s="528"/>
      <c r="DS14" s="528"/>
      <c r="DT14" s="528"/>
      <c r="DU14" s="528"/>
      <c r="DV14" s="528"/>
      <c r="DW14" s="528"/>
      <c r="DX14" s="528"/>
      <c r="DY14" s="528"/>
      <c r="DZ14" s="528"/>
      <c r="EA14" s="528"/>
      <c r="EB14" s="528"/>
      <c r="EC14" s="528"/>
      <c r="ED14" s="528"/>
      <c r="EE14" s="528"/>
      <c r="EF14" s="528"/>
      <c r="EG14" s="528"/>
      <c r="EH14" s="528"/>
      <c r="EI14" s="528"/>
      <c r="EJ14" s="528"/>
      <c r="EK14" s="528"/>
      <c r="EL14" s="528"/>
      <c r="EM14" s="528"/>
      <c r="EN14" s="528"/>
      <c r="EO14" s="528"/>
      <c r="EP14" s="528"/>
      <c r="EQ14" s="528"/>
      <c r="ER14" s="528"/>
      <c r="ES14" s="528"/>
      <c r="ET14" s="528"/>
      <c r="EU14" s="528"/>
      <c r="EV14" s="528"/>
      <c r="EW14" s="528"/>
      <c r="EX14" s="528"/>
      <c r="EY14" s="528"/>
      <c r="EZ14" s="528"/>
      <c r="FA14" s="528"/>
      <c r="FB14" s="528"/>
      <c r="FC14" s="528"/>
      <c r="FD14" s="528"/>
      <c r="FE14" s="528"/>
      <c r="FF14" s="528"/>
      <c r="FG14" s="528"/>
      <c r="FH14" s="528"/>
      <c r="FI14" s="528"/>
      <c r="FJ14" s="528"/>
      <c r="FK14" s="528"/>
      <c r="FL14" s="528"/>
      <c r="FM14" s="528"/>
      <c r="FN14" s="528"/>
      <c r="FO14" s="528"/>
      <c r="FP14" s="528"/>
      <c r="FQ14" s="528"/>
      <c r="FR14" s="528"/>
      <c r="FS14" s="528"/>
      <c r="FT14" s="528"/>
      <c r="FU14" s="528"/>
      <c r="FV14" s="528"/>
      <c r="FW14" s="528"/>
      <c r="FX14" s="528"/>
      <c r="FY14" s="528"/>
      <c r="FZ14" s="528"/>
      <c r="GA14" s="528"/>
      <c r="GB14" s="528"/>
      <c r="GC14" s="528"/>
      <c r="GD14" s="528"/>
      <c r="GE14" s="528"/>
      <c r="GF14" s="528"/>
      <c r="GG14" s="528"/>
      <c r="GH14" s="528"/>
      <c r="GI14" s="528"/>
      <c r="GJ14" s="528"/>
      <c r="GK14" s="528"/>
      <c r="GL14" s="528"/>
      <c r="GM14" s="528"/>
      <c r="GN14" s="528"/>
      <c r="GO14" s="528"/>
      <c r="GP14" s="528"/>
      <c r="GQ14" s="528"/>
      <c r="GR14" s="528"/>
      <c r="GS14" s="528"/>
      <c r="GT14" s="528"/>
      <c r="GU14" s="528"/>
      <c r="GV14" s="528"/>
      <c r="GW14" s="528"/>
      <c r="GX14" s="528"/>
      <c r="GY14" s="528"/>
      <c r="GZ14" s="528"/>
      <c r="HA14" s="528"/>
      <c r="HB14" s="528"/>
      <c r="HC14" s="528"/>
      <c r="HD14" s="528"/>
      <c r="HE14" s="528"/>
      <c r="HF14" s="528"/>
      <c r="HG14" s="528"/>
      <c r="HH14" s="528"/>
      <c r="HI14" s="528"/>
      <c r="HJ14" s="528"/>
      <c r="HK14" s="528"/>
      <c r="HL14" s="528"/>
      <c r="HM14" s="528"/>
      <c r="HN14" s="528"/>
      <c r="HO14" s="528"/>
      <c r="HP14" s="528"/>
      <c r="HQ14" s="528"/>
      <c r="HR14" s="528"/>
      <c r="HS14" s="528"/>
      <c r="HT14" s="528"/>
      <c r="HU14" s="528"/>
      <c r="HV14" s="528"/>
      <c r="HW14" s="528"/>
      <c r="HX14" s="528"/>
      <c r="HY14" s="528"/>
      <c r="HZ14" s="528"/>
      <c r="IA14" s="528"/>
      <c r="IB14" s="528"/>
      <c r="IC14" s="528"/>
      <c r="ID14" s="528"/>
      <c r="IE14" s="528"/>
      <c r="IF14" s="528"/>
      <c r="IG14" s="528"/>
      <c r="IH14" s="528"/>
      <c r="II14" s="528"/>
      <c r="IJ14" s="528"/>
      <c r="IK14" s="528"/>
      <c r="IL14" s="528"/>
      <c r="IM14" s="528"/>
      <c r="IN14" s="528"/>
      <c r="IO14" s="528"/>
      <c r="IP14" s="528"/>
      <c r="IQ14" s="528"/>
      <c r="IR14" s="528"/>
      <c r="IS14" s="528"/>
      <c r="IT14" s="528"/>
      <c r="IU14" s="528"/>
      <c r="IV14" s="528"/>
      <c r="IW14" s="528"/>
      <c r="IX14" s="528"/>
      <c r="IY14" s="528"/>
      <c r="IZ14" s="528"/>
      <c r="JA14" s="528"/>
      <c r="JB14" s="528"/>
      <c r="JC14" s="528"/>
      <c r="JD14" s="528"/>
      <c r="JE14" s="528"/>
      <c r="JF14" s="528"/>
      <c r="JG14" s="528"/>
      <c r="JH14" s="528"/>
      <c r="JI14" s="528"/>
      <c r="JJ14" s="528"/>
      <c r="JK14" s="528"/>
      <c r="JL14" s="528"/>
      <c r="JM14" s="528"/>
      <c r="JN14" s="528"/>
      <c r="JO14" s="528"/>
      <c r="JP14" s="528"/>
      <c r="JQ14" s="528"/>
      <c r="JR14" s="528"/>
      <c r="JS14" s="528"/>
      <c r="JT14" s="528"/>
      <c r="JU14" s="528"/>
      <c r="JV14" s="528"/>
      <c r="JW14" s="528"/>
      <c r="JX14" s="528"/>
      <c r="JY14" s="528"/>
      <c r="JZ14" s="528"/>
      <c r="KA14" s="528"/>
      <c r="KB14" s="528"/>
      <c r="KC14" s="528"/>
      <c r="KD14" s="528"/>
      <c r="KE14" s="528"/>
      <c r="KF14" s="528"/>
      <c r="KG14" s="528"/>
      <c r="KH14" s="528"/>
      <c r="KI14" s="528"/>
      <c r="KJ14" s="528"/>
      <c r="KK14" s="528"/>
      <c r="KL14" s="528"/>
      <c r="KM14" s="528"/>
      <c r="KN14" s="528"/>
      <c r="KO14" s="528"/>
      <c r="KP14" s="528"/>
      <c r="KQ14" s="528"/>
      <c r="KR14" s="528"/>
      <c r="KS14" s="528"/>
      <c r="KT14" s="528"/>
      <c r="KU14" s="528"/>
      <c r="KV14" s="528"/>
      <c r="KW14" s="528"/>
      <c r="KX14" s="528"/>
      <c r="KY14" s="528"/>
      <c r="KZ14" s="528"/>
      <c r="LA14" s="528"/>
      <c r="LB14" s="528"/>
      <c r="LC14" s="528"/>
      <c r="LD14" s="528"/>
      <c r="LE14" s="528"/>
      <c r="LF14" s="528"/>
      <c r="LG14" s="528"/>
      <c r="LH14" s="528"/>
      <c r="LI14" s="528"/>
      <c r="LJ14" s="528"/>
      <c r="LK14" s="528"/>
      <c r="LL14" s="528"/>
      <c r="LM14" s="528"/>
      <c r="LN14" s="528"/>
      <c r="LO14" s="528"/>
      <c r="LP14" s="528"/>
      <c r="LQ14" s="528"/>
      <c r="LR14" s="528"/>
      <c r="LS14" s="528"/>
      <c r="LT14" s="528"/>
      <c r="LU14" s="528"/>
      <c r="LV14" s="528"/>
      <c r="LW14" s="528"/>
      <c r="LX14" s="528"/>
      <c r="LY14" s="528"/>
      <c r="LZ14" s="528"/>
      <c r="MA14" s="528"/>
      <c r="MB14" s="528"/>
      <c r="MC14" s="528"/>
      <c r="MD14" s="528"/>
      <c r="ME14" s="528"/>
      <c r="MF14" s="528"/>
      <c r="MG14" s="528"/>
      <c r="MH14" s="528"/>
      <c r="MI14" s="528"/>
      <c r="MJ14" s="528"/>
      <c r="MK14" s="528"/>
      <c r="ML14" s="528"/>
      <c r="MM14" s="528"/>
      <c r="MN14" s="528"/>
      <c r="MO14" s="528"/>
      <c r="MP14" s="528"/>
      <c r="MQ14" s="528"/>
      <c r="MR14" s="528"/>
      <c r="MS14" s="528"/>
      <c r="MT14" s="528"/>
      <c r="MU14" s="528"/>
      <c r="MV14" s="528"/>
      <c r="MW14" s="528"/>
      <c r="MX14" s="528"/>
      <c r="MY14" s="528"/>
      <c r="MZ14" s="528"/>
      <c r="NA14" s="528"/>
      <c r="NB14" s="528"/>
      <c r="NC14" s="528"/>
      <c r="ND14" s="528"/>
      <c r="NE14" s="528"/>
      <c r="NF14" s="528"/>
      <c r="NG14" s="528"/>
      <c r="NH14" s="528"/>
      <c r="NI14" s="528"/>
      <c r="NJ14" s="528"/>
      <c r="NK14" s="528"/>
      <c r="NL14" s="528"/>
      <c r="NM14" s="528"/>
      <c r="NN14" s="528"/>
      <c r="NO14" s="528"/>
      <c r="NP14" s="528"/>
      <c r="NQ14" s="528"/>
      <c r="NR14" s="528"/>
      <c r="NS14" s="528"/>
      <c r="NT14" s="528"/>
      <c r="NU14" s="528"/>
      <c r="NV14" s="528"/>
      <c r="NW14" s="528"/>
      <c r="NX14" s="528"/>
      <c r="NY14" s="528"/>
      <c r="NZ14" s="528"/>
      <c r="OA14" s="528"/>
      <c r="OB14" s="528"/>
      <c r="OC14" s="528"/>
      <c r="OD14" s="528"/>
      <c r="OE14" s="528"/>
      <c r="OF14" s="528"/>
      <c r="OG14" s="528"/>
      <c r="OH14" s="528"/>
      <c r="OI14" s="528"/>
      <c r="OJ14" s="528"/>
      <c r="OK14" s="528"/>
      <c r="OL14" s="528"/>
      <c r="OM14" s="528"/>
      <c r="ON14" s="528"/>
      <c r="OO14" s="528"/>
      <c r="OP14" s="528"/>
      <c r="OQ14" s="528"/>
      <c r="OR14" s="528"/>
      <c r="OS14" s="528"/>
      <c r="OT14" s="528"/>
      <c r="OU14" s="528"/>
      <c r="OV14" s="528"/>
      <c r="OW14" s="528"/>
      <c r="OX14" s="528"/>
      <c r="OY14" s="528"/>
      <c r="OZ14" s="528"/>
      <c r="PA14" s="528"/>
      <c r="PB14" s="528"/>
      <c r="PC14" s="528"/>
      <c r="PD14" s="528"/>
      <c r="PE14" s="528"/>
      <c r="PF14" s="528"/>
      <c r="PG14" s="528"/>
      <c r="PH14" s="528"/>
      <c r="PI14" s="528"/>
      <c r="PJ14" s="528"/>
      <c r="PK14" s="528"/>
      <c r="PL14" s="528"/>
      <c r="PM14" s="528"/>
      <c r="PN14" s="528"/>
      <c r="PO14" s="528"/>
      <c r="PP14" s="528"/>
      <c r="PQ14" s="528"/>
      <c r="PR14" s="528"/>
      <c r="PS14" s="528"/>
      <c r="PT14" s="528"/>
      <c r="PU14" s="528"/>
      <c r="PV14" s="528"/>
      <c r="PW14" s="528"/>
      <c r="PX14" s="528"/>
      <c r="PY14" s="528"/>
      <c r="PZ14" s="528"/>
      <c r="QA14" s="528"/>
      <c r="QB14" s="528"/>
      <c r="QC14" s="528"/>
      <c r="QD14" s="528"/>
      <c r="QE14" s="528"/>
      <c r="QF14" s="528"/>
      <c r="QG14" s="528"/>
      <c r="QH14" s="528"/>
      <c r="QI14" s="528"/>
      <c r="QJ14" s="528"/>
      <c r="QK14" s="528"/>
      <c r="QL14" s="528"/>
      <c r="QM14" s="528"/>
      <c r="QN14" s="528"/>
      <c r="QO14" s="528"/>
      <c r="QP14" s="528"/>
      <c r="QQ14" s="528"/>
      <c r="QR14" s="528"/>
      <c r="QS14" s="528"/>
      <c r="QT14" s="528"/>
      <c r="QU14" s="528"/>
      <c r="QV14" s="528"/>
      <c r="QW14" s="528"/>
      <c r="QX14" s="528"/>
      <c r="QY14" s="528"/>
      <c r="QZ14" s="528"/>
      <c r="RA14" s="528"/>
      <c r="RB14" s="528"/>
      <c r="RC14" s="528"/>
      <c r="RD14" s="528"/>
      <c r="RE14" s="528"/>
      <c r="RF14" s="528"/>
      <c r="RG14" s="528"/>
      <c r="RH14" s="528"/>
      <c r="RI14" s="528"/>
      <c r="RJ14" s="528"/>
      <c r="RK14" s="528"/>
      <c r="RL14" s="528"/>
      <c r="RM14" s="528"/>
      <c r="RN14" s="528"/>
      <c r="RO14" s="528"/>
      <c r="RP14" s="528"/>
      <c r="RQ14" s="528"/>
      <c r="RR14" s="528"/>
      <c r="RS14" s="528"/>
      <c r="RT14" s="528"/>
      <c r="RU14" s="528"/>
      <c r="RV14" s="528"/>
      <c r="RW14" s="528"/>
      <c r="RX14" s="528"/>
    </row>
    <row r="15" spans="1:492" s="529" customFormat="1" ht="20.149999999999999" customHeight="1">
      <c r="A15" s="548" t="s">
        <v>461</v>
      </c>
      <c r="B15" s="573" t="s">
        <v>462</v>
      </c>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62"/>
      <c r="AN15" s="531"/>
      <c r="AO15" s="531"/>
      <c r="AP15" s="531"/>
      <c r="AQ15" s="563"/>
      <c r="AR15" s="532"/>
      <c r="AS15" s="532"/>
      <c r="AT15" s="532"/>
      <c r="AU15" s="532"/>
      <c r="AV15" s="532"/>
      <c r="AW15" s="531"/>
      <c r="AX15" s="531"/>
      <c r="AY15" s="531"/>
      <c r="AZ15" s="531"/>
      <c r="BA15" s="531"/>
      <c r="BB15" s="569"/>
      <c r="BC15" s="533"/>
      <c r="BD15" s="533"/>
      <c r="BE15" s="533"/>
      <c r="BF15" s="558"/>
      <c r="BG15" s="533"/>
      <c r="BH15" s="533"/>
      <c r="BI15" s="533"/>
      <c r="BJ15" s="533"/>
      <c r="BK15" s="577"/>
      <c r="BL15" s="747"/>
      <c r="BM15" s="760"/>
      <c r="BN15" s="533"/>
      <c r="BO15" s="533"/>
      <c r="BP15" s="577"/>
      <c r="BQ15" s="533">
        <f t="shared" ref="BQ15:BR15" si="24">BQ24</f>
        <v>0</v>
      </c>
      <c r="BR15" s="533">
        <f t="shared" si="24"/>
        <v>0</v>
      </c>
      <c r="BS15" s="533">
        <v>25.9</v>
      </c>
      <c r="BT15" s="761">
        <v>-1.4</v>
      </c>
      <c r="BU15" s="577">
        <f t="shared" si="21"/>
        <v>24.5</v>
      </c>
      <c r="BV15" s="533">
        <v>49.3</v>
      </c>
      <c r="BW15" s="533">
        <v>71.399999999999991</v>
      </c>
      <c r="BX15" s="533"/>
      <c r="BY15" s="761"/>
      <c r="BZ15" s="577">
        <f t="shared" si="22"/>
        <v>120.69999999999999</v>
      </c>
      <c r="CA15" s="528"/>
      <c r="CB15" s="944"/>
      <c r="CC15" s="944"/>
      <c r="CD15" s="528"/>
      <c r="CE15" s="528"/>
      <c r="CF15" s="528"/>
      <c r="CG15" s="528"/>
      <c r="CH15" s="528"/>
      <c r="CI15" s="528"/>
      <c r="CJ15" s="528"/>
      <c r="CK15" s="528"/>
      <c r="CL15" s="528"/>
      <c r="CM15" s="528"/>
      <c r="CN15" s="528"/>
      <c r="CO15" s="528"/>
      <c r="CP15" s="528"/>
      <c r="CQ15" s="528"/>
      <c r="CR15" s="528"/>
      <c r="CS15" s="528"/>
      <c r="CT15" s="528"/>
      <c r="CU15" s="528"/>
      <c r="CV15" s="528"/>
      <c r="CW15" s="528"/>
      <c r="CX15" s="528"/>
      <c r="CY15" s="528"/>
      <c r="CZ15" s="528"/>
      <c r="DA15" s="528"/>
      <c r="DB15" s="528"/>
      <c r="DC15" s="528"/>
      <c r="DD15" s="528"/>
      <c r="DE15" s="528"/>
      <c r="DF15" s="528"/>
      <c r="DG15" s="528"/>
      <c r="DH15" s="528"/>
      <c r="DI15" s="528"/>
      <c r="DJ15" s="528"/>
      <c r="DK15" s="528"/>
      <c r="DL15" s="528"/>
      <c r="DM15" s="528"/>
      <c r="DN15" s="528"/>
      <c r="DO15" s="528"/>
      <c r="DP15" s="528"/>
      <c r="DQ15" s="528"/>
      <c r="DR15" s="528"/>
      <c r="DS15" s="528"/>
      <c r="DT15" s="528"/>
      <c r="DU15" s="528"/>
      <c r="DV15" s="528"/>
      <c r="DW15" s="528"/>
      <c r="DX15" s="528"/>
      <c r="DY15" s="528"/>
      <c r="DZ15" s="528"/>
      <c r="EA15" s="528"/>
      <c r="EB15" s="528"/>
      <c r="EC15" s="528"/>
      <c r="ED15" s="528"/>
      <c r="EE15" s="528"/>
      <c r="EF15" s="528"/>
      <c r="EG15" s="528"/>
      <c r="EH15" s="528"/>
      <c r="EI15" s="528"/>
      <c r="EJ15" s="528"/>
      <c r="EK15" s="528"/>
      <c r="EL15" s="528"/>
      <c r="EM15" s="528"/>
      <c r="EN15" s="528"/>
      <c r="EO15" s="528"/>
      <c r="EP15" s="528"/>
      <c r="EQ15" s="528"/>
      <c r="ER15" s="528"/>
      <c r="ES15" s="528"/>
      <c r="ET15" s="528"/>
      <c r="EU15" s="528"/>
      <c r="EV15" s="528"/>
      <c r="EW15" s="528"/>
      <c r="EX15" s="528"/>
      <c r="EY15" s="528"/>
      <c r="EZ15" s="528"/>
      <c r="FA15" s="528"/>
      <c r="FB15" s="528"/>
      <c r="FC15" s="528"/>
      <c r="FD15" s="528"/>
      <c r="FE15" s="528"/>
      <c r="FF15" s="528"/>
      <c r="FG15" s="528"/>
      <c r="FH15" s="528"/>
      <c r="FI15" s="528"/>
      <c r="FJ15" s="528"/>
      <c r="FK15" s="528"/>
      <c r="FL15" s="528"/>
      <c r="FM15" s="528"/>
      <c r="FN15" s="528"/>
      <c r="FO15" s="528"/>
      <c r="FP15" s="528"/>
      <c r="FQ15" s="528"/>
      <c r="FR15" s="528"/>
      <c r="FS15" s="528"/>
      <c r="FT15" s="528"/>
      <c r="FU15" s="528"/>
      <c r="FV15" s="528"/>
      <c r="FW15" s="528"/>
      <c r="FX15" s="528"/>
      <c r="FY15" s="528"/>
      <c r="FZ15" s="528"/>
      <c r="GA15" s="528"/>
      <c r="GB15" s="528"/>
      <c r="GC15" s="528"/>
      <c r="GD15" s="528"/>
      <c r="GE15" s="528"/>
      <c r="GF15" s="528"/>
      <c r="GG15" s="528"/>
      <c r="GH15" s="528"/>
      <c r="GI15" s="528"/>
      <c r="GJ15" s="528"/>
      <c r="GK15" s="528"/>
      <c r="GL15" s="528"/>
      <c r="GM15" s="528"/>
      <c r="GN15" s="528"/>
      <c r="GO15" s="528"/>
      <c r="GP15" s="528"/>
      <c r="GQ15" s="528"/>
      <c r="GR15" s="528"/>
      <c r="GS15" s="528"/>
      <c r="GT15" s="528"/>
      <c r="GU15" s="528"/>
      <c r="GV15" s="528"/>
      <c r="GW15" s="528"/>
      <c r="GX15" s="528"/>
      <c r="GY15" s="528"/>
      <c r="GZ15" s="528"/>
      <c r="HA15" s="528"/>
      <c r="HB15" s="528"/>
      <c r="HC15" s="528"/>
      <c r="HD15" s="528"/>
      <c r="HE15" s="528"/>
      <c r="HF15" s="528"/>
      <c r="HG15" s="528"/>
      <c r="HH15" s="528"/>
      <c r="HI15" s="528"/>
      <c r="HJ15" s="528"/>
      <c r="HK15" s="528"/>
      <c r="HL15" s="528"/>
      <c r="HM15" s="528"/>
      <c r="HN15" s="528"/>
      <c r="HO15" s="528"/>
      <c r="HP15" s="528"/>
      <c r="HQ15" s="528"/>
      <c r="HR15" s="528"/>
      <c r="HS15" s="528"/>
      <c r="HT15" s="528"/>
      <c r="HU15" s="528"/>
      <c r="HV15" s="528"/>
      <c r="HW15" s="528"/>
      <c r="HX15" s="528"/>
      <c r="HY15" s="528"/>
      <c r="HZ15" s="528"/>
      <c r="IA15" s="528"/>
      <c r="IB15" s="528"/>
      <c r="IC15" s="528"/>
      <c r="ID15" s="528"/>
      <c r="IE15" s="528"/>
      <c r="IF15" s="528"/>
      <c r="IG15" s="528"/>
      <c r="IH15" s="528"/>
      <c r="II15" s="528"/>
      <c r="IJ15" s="528"/>
      <c r="IK15" s="528"/>
      <c r="IL15" s="528"/>
      <c r="IM15" s="528"/>
      <c r="IN15" s="528"/>
      <c r="IO15" s="528"/>
      <c r="IP15" s="528"/>
      <c r="IQ15" s="528"/>
      <c r="IR15" s="528"/>
      <c r="IS15" s="528"/>
      <c r="IT15" s="528"/>
      <c r="IU15" s="528"/>
      <c r="IV15" s="528"/>
      <c r="IW15" s="528"/>
      <c r="IX15" s="528"/>
      <c r="IY15" s="528"/>
      <c r="IZ15" s="528"/>
      <c r="JA15" s="528"/>
      <c r="JB15" s="528"/>
      <c r="JC15" s="528"/>
      <c r="JD15" s="528"/>
      <c r="JE15" s="528"/>
      <c r="JF15" s="528"/>
      <c r="JG15" s="528"/>
      <c r="JH15" s="528"/>
      <c r="JI15" s="528"/>
      <c r="JJ15" s="528"/>
      <c r="JK15" s="528"/>
      <c r="JL15" s="528"/>
      <c r="JM15" s="528"/>
      <c r="JN15" s="528"/>
      <c r="JO15" s="528"/>
      <c r="JP15" s="528"/>
      <c r="JQ15" s="528"/>
      <c r="JR15" s="528"/>
      <c r="JS15" s="528"/>
      <c r="JT15" s="528"/>
      <c r="JU15" s="528"/>
      <c r="JV15" s="528"/>
      <c r="JW15" s="528"/>
      <c r="JX15" s="528"/>
      <c r="JY15" s="528"/>
      <c r="JZ15" s="528"/>
      <c r="KA15" s="528"/>
      <c r="KB15" s="528"/>
      <c r="KC15" s="528"/>
      <c r="KD15" s="528"/>
      <c r="KE15" s="528"/>
      <c r="KF15" s="528"/>
      <c r="KG15" s="528"/>
      <c r="KH15" s="528"/>
      <c r="KI15" s="528"/>
      <c r="KJ15" s="528"/>
      <c r="KK15" s="528"/>
      <c r="KL15" s="528"/>
      <c r="KM15" s="528"/>
      <c r="KN15" s="528"/>
      <c r="KO15" s="528"/>
      <c r="KP15" s="528"/>
      <c r="KQ15" s="528"/>
      <c r="KR15" s="528"/>
      <c r="KS15" s="528"/>
      <c r="KT15" s="528"/>
      <c r="KU15" s="528"/>
      <c r="KV15" s="528"/>
      <c r="KW15" s="528"/>
      <c r="KX15" s="528"/>
      <c r="KY15" s="528"/>
      <c r="KZ15" s="528"/>
      <c r="LA15" s="528"/>
      <c r="LB15" s="528"/>
      <c r="LC15" s="528"/>
      <c r="LD15" s="528"/>
      <c r="LE15" s="528"/>
      <c r="LF15" s="528"/>
      <c r="LG15" s="528"/>
      <c r="LH15" s="528"/>
      <c r="LI15" s="528"/>
      <c r="LJ15" s="528"/>
      <c r="LK15" s="528"/>
      <c r="LL15" s="528"/>
      <c r="LM15" s="528"/>
      <c r="LN15" s="528"/>
      <c r="LO15" s="528"/>
      <c r="LP15" s="528"/>
      <c r="LQ15" s="528"/>
      <c r="LR15" s="528"/>
      <c r="LS15" s="528"/>
      <c r="LT15" s="528"/>
      <c r="LU15" s="528"/>
      <c r="LV15" s="528"/>
      <c r="LW15" s="528"/>
      <c r="LX15" s="528"/>
      <c r="LY15" s="528"/>
      <c r="LZ15" s="528"/>
      <c r="MA15" s="528"/>
      <c r="MB15" s="528"/>
      <c r="MC15" s="528"/>
      <c r="MD15" s="528"/>
      <c r="ME15" s="528"/>
      <c r="MF15" s="528"/>
      <c r="MG15" s="528"/>
      <c r="MH15" s="528"/>
      <c r="MI15" s="528"/>
      <c r="MJ15" s="528"/>
      <c r="MK15" s="528"/>
      <c r="ML15" s="528"/>
      <c r="MM15" s="528"/>
      <c r="MN15" s="528"/>
      <c r="MO15" s="528"/>
      <c r="MP15" s="528"/>
      <c r="MQ15" s="528"/>
      <c r="MR15" s="528"/>
      <c r="MS15" s="528"/>
      <c r="MT15" s="528"/>
      <c r="MU15" s="528"/>
      <c r="MV15" s="528"/>
      <c r="MW15" s="528"/>
      <c r="MX15" s="528"/>
      <c r="MY15" s="528"/>
      <c r="MZ15" s="528"/>
      <c r="NA15" s="528"/>
      <c r="NB15" s="528"/>
      <c r="NC15" s="528"/>
      <c r="ND15" s="528"/>
      <c r="NE15" s="528"/>
      <c r="NF15" s="528"/>
      <c r="NG15" s="528"/>
      <c r="NH15" s="528"/>
      <c r="NI15" s="528"/>
      <c r="NJ15" s="528"/>
      <c r="NK15" s="528"/>
      <c r="NL15" s="528"/>
      <c r="NM15" s="528"/>
      <c r="NN15" s="528"/>
      <c r="NO15" s="528"/>
      <c r="NP15" s="528"/>
      <c r="NQ15" s="528"/>
      <c r="NR15" s="528"/>
      <c r="NS15" s="528"/>
      <c r="NT15" s="528"/>
      <c r="NU15" s="528"/>
      <c r="NV15" s="528"/>
      <c r="NW15" s="528"/>
      <c r="NX15" s="528"/>
      <c r="NY15" s="528"/>
      <c r="NZ15" s="528"/>
      <c r="OA15" s="528"/>
      <c r="OB15" s="528"/>
      <c r="OC15" s="528"/>
      <c r="OD15" s="528"/>
      <c r="OE15" s="528"/>
      <c r="OF15" s="528"/>
      <c r="OG15" s="528"/>
      <c r="OH15" s="528"/>
      <c r="OI15" s="528"/>
      <c r="OJ15" s="528"/>
      <c r="OK15" s="528"/>
      <c r="OL15" s="528"/>
      <c r="OM15" s="528"/>
      <c r="ON15" s="528"/>
      <c r="OO15" s="528"/>
      <c r="OP15" s="528"/>
      <c r="OQ15" s="528"/>
      <c r="OR15" s="528"/>
      <c r="OS15" s="528"/>
      <c r="OT15" s="528"/>
      <c r="OU15" s="528"/>
      <c r="OV15" s="528"/>
      <c r="OW15" s="528"/>
      <c r="OX15" s="528"/>
      <c r="OY15" s="528"/>
      <c r="OZ15" s="528"/>
      <c r="PA15" s="528"/>
      <c r="PB15" s="528"/>
      <c r="PC15" s="528"/>
      <c r="PD15" s="528"/>
      <c r="PE15" s="528"/>
      <c r="PF15" s="528"/>
      <c r="PG15" s="528"/>
      <c r="PH15" s="528"/>
      <c r="PI15" s="528"/>
      <c r="PJ15" s="528"/>
      <c r="PK15" s="528"/>
      <c r="PL15" s="528"/>
      <c r="PM15" s="528"/>
      <c r="PN15" s="528"/>
      <c r="PO15" s="528"/>
      <c r="PP15" s="528"/>
      <c r="PQ15" s="528"/>
      <c r="PR15" s="528"/>
      <c r="PS15" s="528"/>
      <c r="PT15" s="528"/>
      <c r="PU15" s="528"/>
      <c r="PV15" s="528"/>
      <c r="PW15" s="528"/>
      <c r="PX15" s="528"/>
      <c r="PY15" s="528"/>
      <c r="PZ15" s="528"/>
      <c r="QA15" s="528"/>
      <c r="QB15" s="528"/>
      <c r="QC15" s="528"/>
      <c r="QD15" s="528"/>
      <c r="QE15" s="528"/>
      <c r="QF15" s="528"/>
      <c r="QG15" s="528"/>
      <c r="QH15" s="528"/>
      <c r="QI15" s="528"/>
      <c r="QJ15" s="528"/>
      <c r="QK15" s="528"/>
      <c r="QL15" s="528"/>
      <c r="QM15" s="528"/>
      <c r="QN15" s="528"/>
      <c r="QO15" s="528"/>
      <c r="QP15" s="528"/>
      <c r="QQ15" s="528"/>
      <c r="QR15" s="528"/>
      <c r="QS15" s="528"/>
      <c r="QT15" s="528"/>
      <c r="QU15" s="528"/>
      <c r="QV15" s="528"/>
      <c r="QW15" s="528"/>
      <c r="QX15" s="528"/>
      <c r="QY15" s="528"/>
      <c r="QZ15" s="528"/>
      <c r="RA15" s="528"/>
      <c r="RB15" s="528"/>
      <c r="RC15" s="528"/>
      <c r="RD15" s="528"/>
      <c r="RE15" s="528"/>
      <c r="RF15" s="528"/>
      <c r="RG15" s="528"/>
      <c r="RH15" s="528"/>
      <c r="RI15" s="528"/>
      <c r="RJ15" s="528"/>
      <c r="RK15" s="528"/>
      <c r="RL15" s="528"/>
      <c r="RM15" s="528"/>
      <c r="RN15" s="528"/>
      <c r="RO15" s="528"/>
      <c r="RP15" s="528"/>
      <c r="RQ15" s="528"/>
      <c r="RR15" s="528"/>
      <c r="RS15" s="528"/>
      <c r="RT15" s="528"/>
      <c r="RU15" s="528"/>
      <c r="RV15" s="528"/>
      <c r="RW15" s="528"/>
      <c r="RX15" s="528"/>
    </row>
    <row r="16" spans="1:492" s="529" customFormat="1" ht="20.149999999999999" customHeight="1">
      <c r="A16" s="548" t="s">
        <v>463</v>
      </c>
      <c r="B16" s="573" t="s">
        <v>464</v>
      </c>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62"/>
      <c r="AN16" s="531"/>
      <c r="AO16" s="531"/>
      <c r="AP16" s="531"/>
      <c r="AQ16" s="563"/>
      <c r="AR16" s="532"/>
      <c r="AS16" s="532"/>
      <c r="AT16" s="532"/>
      <c r="AU16" s="532"/>
      <c r="AV16" s="532"/>
      <c r="AW16" s="531"/>
      <c r="AX16" s="531"/>
      <c r="AY16" s="531"/>
      <c r="AZ16" s="531"/>
      <c r="BA16" s="531"/>
      <c r="BB16" s="569"/>
      <c r="BC16" s="533"/>
      <c r="BD16" s="533"/>
      <c r="BE16" s="533"/>
      <c r="BF16" s="558"/>
      <c r="BG16" s="533"/>
      <c r="BH16" s="533"/>
      <c r="BI16" s="533"/>
      <c r="BJ16" s="533"/>
      <c r="BK16" s="577"/>
      <c r="BL16" s="747"/>
      <c r="BM16" s="761">
        <v>-2.2000000000000002</v>
      </c>
      <c r="BN16" s="761">
        <f>-7.9-BM16-BL16</f>
        <v>-5.7</v>
      </c>
      <c r="BO16" s="533">
        <f>-5.1-BN16-BM16</f>
        <v>2.8000000000000007</v>
      </c>
      <c r="BP16" s="577">
        <f t="shared" si="19"/>
        <v>-5.0999999999999996</v>
      </c>
      <c r="BQ16" s="761">
        <f t="shared" ref="BQ16:BR16" si="25">BQ25</f>
        <v>-1.5</v>
      </c>
      <c r="BR16" s="761">
        <f t="shared" si="25"/>
        <v>0.8</v>
      </c>
      <c r="BS16" s="761">
        <v>-1.2999999999999998</v>
      </c>
      <c r="BT16" s="761">
        <v>-3.1</v>
      </c>
      <c r="BU16" s="577">
        <f t="shared" si="21"/>
        <v>-5.0999999999999996</v>
      </c>
      <c r="BV16" s="761">
        <v>0</v>
      </c>
      <c r="BW16" s="761">
        <v>0</v>
      </c>
      <c r="BX16" s="761"/>
      <c r="BY16" s="761"/>
      <c r="BZ16" s="577">
        <f t="shared" si="22"/>
        <v>0</v>
      </c>
      <c r="CA16" s="528"/>
      <c r="CB16" s="944"/>
      <c r="CC16" s="528"/>
      <c r="CD16" s="528"/>
      <c r="CE16" s="528"/>
      <c r="CF16" s="528"/>
      <c r="CG16" s="528"/>
      <c r="CH16" s="528"/>
      <c r="CI16" s="528"/>
      <c r="CJ16" s="528"/>
      <c r="CK16" s="528"/>
      <c r="CL16" s="528"/>
      <c r="CM16" s="528"/>
      <c r="CN16" s="528"/>
      <c r="CO16" s="528"/>
      <c r="CP16" s="528"/>
      <c r="CQ16" s="528"/>
      <c r="CR16" s="528"/>
      <c r="CS16" s="528"/>
      <c r="CT16" s="528"/>
      <c r="CU16" s="528"/>
      <c r="CV16" s="528"/>
      <c r="CW16" s="528"/>
      <c r="CX16" s="528"/>
      <c r="CY16" s="528"/>
      <c r="CZ16" s="528"/>
      <c r="DA16" s="528"/>
      <c r="DB16" s="528"/>
      <c r="DC16" s="528"/>
      <c r="DD16" s="528"/>
      <c r="DE16" s="528"/>
      <c r="DF16" s="528"/>
      <c r="DG16" s="528"/>
      <c r="DH16" s="528"/>
      <c r="DI16" s="528"/>
      <c r="DJ16" s="528"/>
      <c r="DK16" s="528"/>
      <c r="DL16" s="528"/>
      <c r="DM16" s="528"/>
      <c r="DN16" s="528"/>
      <c r="DO16" s="528"/>
      <c r="DP16" s="528"/>
      <c r="DQ16" s="528"/>
      <c r="DR16" s="528"/>
      <c r="DS16" s="528"/>
      <c r="DT16" s="528"/>
      <c r="DU16" s="528"/>
      <c r="DV16" s="528"/>
      <c r="DW16" s="528"/>
      <c r="DX16" s="528"/>
      <c r="DY16" s="528"/>
      <c r="DZ16" s="528"/>
      <c r="EA16" s="528"/>
      <c r="EB16" s="528"/>
      <c r="EC16" s="528"/>
      <c r="ED16" s="528"/>
      <c r="EE16" s="528"/>
      <c r="EF16" s="528"/>
      <c r="EG16" s="528"/>
      <c r="EH16" s="528"/>
      <c r="EI16" s="528"/>
      <c r="EJ16" s="528"/>
      <c r="EK16" s="528"/>
      <c r="EL16" s="528"/>
      <c r="EM16" s="528"/>
      <c r="EN16" s="528"/>
      <c r="EO16" s="528"/>
      <c r="EP16" s="528"/>
      <c r="EQ16" s="528"/>
      <c r="ER16" s="528"/>
      <c r="ES16" s="528"/>
      <c r="ET16" s="528"/>
      <c r="EU16" s="528"/>
      <c r="EV16" s="528"/>
      <c r="EW16" s="528"/>
      <c r="EX16" s="528"/>
      <c r="EY16" s="528"/>
      <c r="EZ16" s="528"/>
      <c r="FA16" s="528"/>
      <c r="FB16" s="528"/>
      <c r="FC16" s="528"/>
      <c r="FD16" s="528"/>
      <c r="FE16" s="528"/>
      <c r="FF16" s="528"/>
      <c r="FG16" s="528"/>
      <c r="FH16" s="528"/>
      <c r="FI16" s="528"/>
      <c r="FJ16" s="528"/>
      <c r="FK16" s="528"/>
      <c r="FL16" s="528"/>
      <c r="FM16" s="528"/>
      <c r="FN16" s="528"/>
      <c r="FO16" s="528"/>
      <c r="FP16" s="528"/>
      <c r="FQ16" s="528"/>
      <c r="FR16" s="528"/>
      <c r="FS16" s="528"/>
      <c r="FT16" s="528"/>
      <c r="FU16" s="528"/>
      <c r="FV16" s="528"/>
      <c r="FW16" s="528"/>
      <c r="FX16" s="528"/>
      <c r="FY16" s="528"/>
      <c r="FZ16" s="528"/>
      <c r="GA16" s="528"/>
      <c r="GB16" s="528"/>
      <c r="GC16" s="528"/>
      <c r="GD16" s="528"/>
      <c r="GE16" s="528"/>
      <c r="GF16" s="528"/>
      <c r="GG16" s="528"/>
      <c r="GH16" s="528"/>
      <c r="GI16" s="528"/>
      <c r="GJ16" s="528"/>
      <c r="GK16" s="528"/>
      <c r="GL16" s="528"/>
      <c r="GM16" s="528"/>
      <c r="GN16" s="528"/>
      <c r="GO16" s="528"/>
      <c r="GP16" s="528"/>
      <c r="GQ16" s="528"/>
      <c r="GR16" s="528"/>
      <c r="GS16" s="528"/>
      <c r="GT16" s="528"/>
      <c r="GU16" s="528"/>
      <c r="GV16" s="528"/>
      <c r="GW16" s="528"/>
      <c r="GX16" s="528"/>
      <c r="GY16" s="528"/>
      <c r="GZ16" s="528"/>
      <c r="HA16" s="528"/>
      <c r="HB16" s="528"/>
      <c r="HC16" s="528"/>
      <c r="HD16" s="528"/>
      <c r="HE16" s="528"/>
      <c r="HF16" s="528"/>
      <c r="HG16" s="528"/>
      <c r="HH16" s="528"/>
      <c r="HI16" s="528"/>
      <c r="HJ16" s="528"/>
      <c r="HK16" s="528"/>
      <c r="HL16" s="528"/>
      <c r="HM16" s="528"/>
      <c r="HN16" s="528"/>
      <c r="HO16" s="528"/>
      <c r="HP16" s="528"/>
      <c r="HQ16" s="528"/>
      <c r="HR16" s="528"/>
      <c r="HS16" s="528"/>
      <c r="HT16" s="528"/>
      <c r="HU16" s="528"/>
      <c r="HV16" s="528"/>
      <c r="HW16" s="528"/>
      <c r="HX16" s="528"/>
      <c r="HY16" s="528"/>
      <c r="HZ16" s="528"/>
      <c r="IA16" s="528"/>
      <c r="IB16" s="528"/>
      <c r="IC16" s="528"/>
      <c r="ID16" s="528"/>
      <c r="IE16" s="528"/>
      <c r="IF16" s="528"/>
      <c r="IG16" s="528"/>
      <c r="IH16" s="528"/>
      <c r="II16" s="528"/>
      <c r="IJ16" s="528"/>
      <c r="IK16" s="528"/>
      <c r="IL16" s="528"/>
      <c r="IM16" s="528"/>
      <c r="IN16" s="528"/>
      <c r="IO16" s="528"/>
      <c r="IP16" s="528"/>
      <c r="IQ16" s="528"/>
      <c r="IR16" s="528"/>
      <c r="IS16" s="528"/>
      <c r="IT16" s="528"/>
      <c r="IU16" s="528"/>
      <c r="IV16" s="528"/>
      <c r="IW16" s="528"/>
      <c r="IX16" s="528"/>
      <c r="IY16" s="528"/>
      <c r="IZ16" s="528"/>
      <c r="JA16" s="528"/>
      <c r="JB16" s="528"/>
      <c r="JC16" s="528"/>
      <c r="JD16" s="528"/>
      <c r="JE16" s="528"/>
      <c r="JF16" s="528"/>
      <c r="JG16" s="528"/>
      <c r="JH16" s="528"/>
      <c r="JI16" s="528"/>
      <c r="JJ16" s="528"/>
      <c r="JK16" s="528"/>
      <c r="JL16" s="528"/>
      <c r="JM16" s="528"/>
      <c r="JN16" s="528"/>
      <c r="JO16" s="528"/>
      <c r="JP16" s="528"/>
      <c r="JQ16" s="528"/>
      <c r="JR16" s="528"/>
      <c r="JS16" s="528"/>
      <c r="JT16" s="528"/>
      <c r="JU16" s="528"/>
      <c r="JV16" s="528"/>
      <c r="JW16" s="528"/>
      <c r="JX16" s="528"/>
      <c r="JY16" s="528"/>
      <c r="JZ16" s="528"/>
      <c r="KA16" s="528"/>
      <c r="KB16" s="528"/>
      <c r="KC16" s="528"/>
      <c r="KD16" s="528"/>
      <c r="KE16" s="528"/>
      <c r="KF16" s="528"/>
      <c r="KG16" s="528"/>
      <c r="KH16" s="528"/>
      <c r="KI16" s="528"/>
      <c r="KJ16" s="528"/>
      <c r="KK16" s="528"/>
      <c r="KL16" s="528"/>
      <c r="KM16" s="528"/>
      <c r="KN16" s="528"/>
      <c r="KO16" s="528"/>
      <c r="KP16" s="528"/>
      <c r="KQ16" s="528"/>
      <c r="KR16" s="528"/>
      <c r="KS16" s="528"/>
      <c r="KT16" s="528"/>
      <c r="KU16" s="528"/>
      <c r="KV16" s="528"/>
      <c r="KW16" s="528"/>
      <c r="KX16" s="528"/>
      <c r="KY16" s="528"/>
      <c r="KZ16" s="528"/>
      <c r="LA16" s="528"/>
      <c r="LB16" s="528"/>
      <c r="LC16" s="528"/>
      <c r="LD16" s="528"/>
      <c r="LE16" s="528"/>
      <c r="LF16" s="528"/>
      <c r="LG16" s="528"/>
      <c r="LH16" s="528"/>
      <c r="LI16" s="528"/>
      <c r="LJ16" s="528"/>
      <c r="LK16" s="528"/>
      <c r="LL16" s="528"/>
      <c r="LM16" s="528"/>
      <c r="LN16" s="528"/>
      <c r="LO16" s="528"/>
      <c r="LP16" s="528"/>
      <c r="LQ16" s="528"/>
      <c r="LR16" s="528"/>
      <c r="LS16" s="528"/>
      <c r="LT16" s="528"/>
      <c r="LU16" s="528"/>
      <c r="LV16" s="528"/>
      <c r="LW16" s="528"/>
      <c r="LX16" s="528"/>
      <c r="LY16" s="528"/>
      <c r="LZ16" s="528"/>
      <c r="MA16" s="528"/>
      <c r="MB16" s="528"/>
      <c r="MC16" s="528"/>
      <c r="MD16" s="528"/>
      <c r="ME16" s="528"/>
      <c r="MF16" s="528"/>
      <c r="MG16" s="528"/>
      <c r="MH16" s="528"/>
      <c r="MI16" s="528"/>
      <c r="MJ16" s="528"/>
      <c r="MK16" s="528"/>
      <c r="ML16" s="528"/>
      <c r="MM16" s="528"/>
      <c r="MN16" s="528"/>
      <c r="MO16" s="528"/>
      <c r="MP16" s="528"/>
      <c r="MQ16" s="528"/>
      <c r="MR16" s="528"/>
      <c r="MS16" s="528"/>
      <c r="MT16" s="528"/>
      <c r="MU16" s="528"/>
      <c r="MV16" s="528"/>
      <c r="MW16" s="528"/>
      <c r="MX16" s="528"/>
      <c r="MY16" s="528"/>
      <c r="MZ16" s="528"/>
      <c r="NA16" s="528"/>
      <c r="NB16" s="528"/>
      <c r="NC16" s="528"/>
      <c r="ND16" s="528"/>
      <c r="NE16" s="528"/>
      <c r="NF16" s="528"/>
      <c r="NG16" s="528"/>
      <c r="NH16" s="528"/>
      <c r="NI16" s="528"/>
      <c r="NJ16" s="528"/>
      <c r="NK16" s="528"/>
      <c r="NL16" s="528"/>
      <c r="NM16" s="528"/>
      <c r="NN16" s="528"/>
      <c r="NO16" s="528"/>
      <c r="NP16" s="528"/>
      <c r="NQ16" s="528"/>
      <c r="NR16" s="528"/>
      <c r="NS16" s="528"/>
      <c r="NT16" s="528"/>
      <c r="NU16" s="528"/>
      <c r="NV16" s="528"/>
      <c r="NW16" s="528"/>
      <c r="NX16" s="528"/>
      <c r="NY16" s="528"/>
      <c r="NZ16" s="528"/>
      <c r="OA16" s="528"/>
      <c r="OB16" s="528"/>
      <c r="OC16" s="528"/>
      <c r="OD16" s="528"/>
      <c r="OE16" s="528"/>
      <c r="OF16" s="528"/>
      <c r="OG16" s="528"/>
      <c r="OH16" s="528"/>
      <c r="OI16" s="528"/>
      <c r="OJ16" s="528"/>
      <c r="OK16" s="528"/>
      <c r="OL16" s="528"/>
      <c r="OM16" s="528"/>
      <c r="ON16" s="528"/>
      <c r="OO16" s="528"/>
      <c r="OP16" s="528"/>
      <c r="OQ16" s="528"/>
      <c r="OR16" s="528"/>
      <c r="OS16" s="528"/>
      <c r="OT16" s="528"/>
      <c r="OU16" s="528"/>
      <c r="OV16" s="528"/>
      <c r="OW16" s="528"/>
      <c r="OX16" s="528"/>
      <c r="OY16" s="528"/>
      <c r="OZ16" s="528"/>
      <c r="PA16" s="528"/>
      <c r="PB16" s="528"/>
      <c r="PC16" s="528"/>
      <c r="PD16" s="528"/>
      <c r="PE16" s="528"/>
      <c r="PF16" s="528"/>
      <c r="PG16" s="528"/>
      <c r="PH16" s="528"/>
      <c r="PI16" s="528"/>
      <c r="PJ16" s="528"/>
      <c r="PK16" s="528"/>
      <c r="PL16" s="528"/>
      <c r="PM16" s="528"/>
      <c r="PN16" s="528"/>
      <c r="PO16" s="528"/>
      <c r="PP16" s="528"/>
      <c r="PQ16" s="528"/>
      <c r="PR16" s="528"/>
      <c r="PS16" s="528"/>
      <c r="PT16" s="528"/>
      <c r="PU16" s="528"/>
      <c r="PV16" s="528"/>
      <c r="PW16" s="528"/>
      <c r="PX16" s="528"/>
      <c r="PY16" s="528"/>
      <c r="PZ16" s="528"/>
      <c r="QA16" s="528"/>
      <c r="QB16" s="528"/>
      <c r="QC16" s="528"/>
      <c r="QD16" s="528"/>
      <c r="QE16" s="528"/>
      <c r="QF16" s="528"/>
      <c r="QG16" s="528"/>
      <c r="QH16" s="528"/>
      <c r="QI16" s="528"/>
      <c r="QJ16" s="528"/>
      <c r="QK16" s="528"/>
      <c r="QL16" s="528"/>
      <c r="QM16" s="528"/>
      <c r="QN16" s="528"/>
      <c r="QO16" s="528"/>
      <c r="QP16" s="528"/>
      <c r="QQ16" s="528"/>
      <c r="QR16" s="528"/>
      <c r="QS16" s="528"/>
      <c r="QT16" s="528"/>
      <c r="QU16" s="528"/>
      <c r="QV16" s="528"/>
      <c r="QW16" s="528"/>
      <c r="QX16" s="528"/>
      <c r="QY16" s="528"/>
      <c r="QZ16" s="528"/>
      <c r="RA16" s="528"/>
      <c r="RB16" s="528"/>
      <c r="RC16" s="528"/>
      <c r="RD16" s="528"/>
      <c r="RE16" s="528"/>
      <c r="RF16" s="528"/>
      <c r="RG16" s="528"/>
      <c r="RH16" s="528"/>
      <c r="RI16" s="528"/>
      <c r="RJ16" s="528"/>
      <c r="RK16" s="528"/>
      <c r="RL16" s="528"/>
      <c r="RM16" s="528"/>
      <c r="RN16" s="528"/>
      <c r="RO16" s="528"/>
      <c r="RP16" s="528"/>
      <c r="RQ16" s="528"/>
      <c r="RR16" s="528"/>
      <c r="RS16" s="528"/>
      <c r="RT16" s="528"/>
      <c r="RU16" s="528"/>
      <c r="RV16" s="528"/>
      <c r="RW16" s="528"/>
      <c r="RX16" s="528"/>
    </row>
    <row r="17" spans="1:492" s="529" customFormat="1" ht="20.25" customHeight="1">
      <c r="A17" s="548" t="s">
        <v>468</v>
      </c>
      <c r="B17" s="573" t="s">
        <v>469</v>
      </c>
      <c r="C17" s="534"/>
      <c r="D17" s="534"/>
      <c r="E17" s="534"/>
      <c r="F17" s="534"/>
      <c r="G17" s="534"/>
      <c r="H17" s="534"/>
      <c r="I17" s="534"/>
      <c r="J17" s="534"/>
      <c r="K17" s="534"/>
      <c r="L17" s="534"/>
      <c r="M17" s="534"/>
      <c r="N17" s="534"/>
      <c r="O17" s="534"/>
      <c r="P17" s="534"/>
      <c r="Q17" s="534"/>
      <c r="R17" s="534"/>
      <c r="S17" s="534"/>
      <c r="T17" s="534"/>
      <c r="U17" s="534"/>
      <c r="V17" s="534"/>
      <c r="W17" s="534"/>
      <c r="X17" s="534"/>
      <c r="Y17" s="534"/>
      <c r="Z17" s="534"/>
      <c r="AA17" s="534"/>
      <c r="AB17" s="534"/>
      <c r="AC17" s="534"/>
      <c r="AD17" s="534"/>
      <c r="AE17" s="534"/>
      <c r="AF17" s="534"/>
      <c r="AG17" s="534"/>
      <c r="AH17" s="534"/>
      <c r="AI17" s="534"/>
      <c r="AJ17" s="534"/>
      <c r="AK17" s="534"/>
      <c r="AL17" s="534"/>
      <c r="AM17" s="562"/>
      <c r="AN17" s="531"/>
      <c r="AO17" s="531"/>
      <c r="AP17" s="531"/>
      <c r="AQ17" s="563"/>
      <c r="AR17" s="532"/>
      <c r="AS17" s="532"/>
      <c r="AT17" s="532"/>
      <c r="AU17" s="532"/>
      <c r="AV17" s="532"/>
      <c r="AW17" s="531"/>
      <c r="AX17" s="531"/>
      <c r="AY17" s="531"/>
      <c r="AZ17" s="531"/>
      <c r="BA17" s="531"/>
      <c r="BB17" s="569">
        <v>0</v>
      </c>
      <c r="BC17" s="533">
        <v>-41.5</v>
      </c>
      <c r="BD17" s="533">
        <v>-3.3</v>
      </c>
      <c r="BE17" s="533">
        <v>-1.1000000000000001</v>
      </c>
      <c r="BF17" s="568">
        <f t="shared" ref="BF17" si="26">SUM(BB17:BE17)</f>
        <v>-45.9</v>
      </c>
      <c r="BG17" s="531"/>
      <c r="BH17" s="531"/>
      <c r="BI17" s="539">
        <v>0</v>
      </c>
      <c r="BJ17" s="539">
        <v>0</v>
      </c>
      <c r="BK17" s="577">
        <f t="shared" ref="BK17" si="27">SUM(BG17:BJ17)</f>
        <v>0</v>
      </c>
      <c r="BL17" s="747">
        <v>0</v>
      </c>
      <c r="BM17" s="762">
        <v>0</v>
      </c>
      <c r="BN17" s="539">
        <v>0</v>
      </c>
      <c r="BO17" s="539"/>
      <c r="BP17" s="577">
        <f t="shared" si="19"/>
        <v>0</v>
      </c>
      <c r="BQ17" s="747">
        <v>0</v>
      </c>
      <c r="BR17" s="762">
        <v>0</v>
      </c>
      <c r="BS17" s="539">
        <v>0</v>
      </c>
      <c r="BT17" s="539"/>
      <c r="BU17" s="926">
        <f t="shared" si="21"/>
        <v>0</v>
      </c>
      <c r="BV17" s="747">
        <v>0</v>
      </c>
      <c r="BW17" s="762">
        <v>0</v>
      </c>
      <c r="BX17" s="539"/>
      <c r="BY17" s="539"/>
      <c r="BZ17" s="926">
        <f t="shared" si="22"/>
        <v>0</v>
      </c>
      <c r="CA17" s="528"/>
      <c r="CB17" s="944"/>
      <c r="CC17" s="528"/>
      <c r="CD17" s="528"/>
      <c r="CE17" s="528"/>
      <c r="CF17" s="528"/>
      <c r="CG17" s="528"/>
      <c r="CH17" s="528"/>
      <c r="CI17" s="528"/>
      <c r="CJ17" s="528"/>
      <c r="CK17" s="528"/>
      <c r="CL17" s="528"/>
      <c r="CM17" s="528"/>
      <c r="CN17" s="528"/>
      <c r="CO17" s="528"/>
      <c r="CP17" s="528"/>
      <c r="CQ17" s="528"/>
      <c r="CR17" s="528"/>
      <c r="CS17" s="528"/>
      <c r="CT17" s="528"/>
      <c r="CU17" s="528"/>
      <c r="CV17" s="528"/>
      <c r="CW17" s="528"/>
      <c r="CX17" s="528"/>
      <c r="CY17" s="528"/>
      <c r="CZ17" s="528"/>
      <c r="DA17" s="528"/>
      <c r="DB17" s="528"/>
      <c r="DC17" s="528"/>
      <c r="DD17" s="528"/>
      <c r="DE17" s="528"/>
      <c r="DF17" s="528"/>
      <c r="DG17" s="528"/>
      <c r="DH17" s="528"/>
      <c r="DI17" s="528"/>
      <c r="DJ17" s="528"/>
      <c r="DK17" s="528"/>
      <c r="DL17" s="528"/>
      <c r="DM17" s="528"/>
      <c r="DN17" s="528"/>
      <c r="DO17" s="528"/>
      <c r="DP17" s="528"/>
      <c r="DQ17" s="528"/>
      <c r="DR17" s="528"/>
      <c r="DS17" s="528"/>
      <c r="DT17" s="528"/>
      <c r="DU17" s="528"/>
      <c r="DV17" s="528"/>
      <c r="DW17" s="528"/>
      <c r="DX17" s="528"/>
      <c r="DY17" s="528"/>
      <c r="DZ17" s="528"/>
      <c r="EA17" s="528"/>
      <c r="EB17" s="528"/>
      <c r="EC17" s="528"/>
      <c r="ED17" s="528"/>
      <c r="EE17" s="528"/>
      <c r="EF17" s="528"/>
      <c r="EG17" s="528"/>
      <c r="EH17" s="528"/>
      <c r="EI17" s="528"/>
      <c r="EJ17" s="528"/>
      <c r="EK17" s="528"/>
      <c r="EL17" s="528"/>
      <c r="EM17" s="528"/>
      <c r="EN17" s="528"/>
      <c r="EO17" s="528"/>
      <c r="EP17" s="528"/>
      <c r="EQ17" s="528"/>
      <c r="ER17" s="528"/>
      <c r="ES17" s="528"/>
      <c r="ET17" s="528"/>
      <c r="EU17" s="528"/>
      <c r="EV17" s="528"/>
      <c r="EW17" s="528"/>
      <c r="EX17" s="528"/>
      <c r="EY17" s="528"/>
      <c r="EZ17" s="528"/>
      <c r="FA17" s="528"/>
      <c r="FB17" s="528"/>
      <c r="FC17" s="528"/>
      <c r="FD17" s="528"/>
      <c r="FE17" s="528"/>
      <c r="FF17" s="528"/>
      <c r="FG17" s="528"/>
      <c r="FH17" s="528"/>
      <c r="FI17" s="528"/>
      <c r="FJ17" s="528"/>
      <c r="FK17" s="528"/>
      <c r="FL17" s="528"/>
      <c r="FM17" s="528"/>
      <c r="FN17" s="528"/>
      <c r="FO17" s="528"/>
      <c r="FP17" s="528"/>
      <c r="FQ17" s="528"/>
      <c r="FR17" s="528"/>
      <c r="FS17" s="528"/>
      <c r="FT17" s="528"/>
      <c r="FU17" s="528"/>
      <c r="FV17" s="528"/>
      <c r="FW17" s="528"/>
      <c r="FX17" s="528"/>
      <c r="FY17" s="528"/>
      <c r="FZ17" s="528"/>
      <c r="GA17" s="528"/>
      <c r="GB17" s="528"/>
      <c r="GC17" s="528"/>
      <c r="GD17" s="528"/>
      <c r="GE17" s="528"/>
      <c r="GF17" s="528"/>
      <c r="GG17" s="528"/>
      <c r="GH17" s="528"/>
      <c r="GI17" s="528"/>
      <c r="GJ17" s="528"/>
      <c r="GK17" s="528"/>
      <c r="GL17" s="528"/>
      <c r="GM17" s="528"/>
      <c r="GN17" s="528"/>
      <c r="GO17" s="528"/>
      <c r="GP17" s="528"/>
      <c r="GQ17" s="528"/>
      <c r="GR17" s="528"/>
      <c r="GS17" s="528"/>
      <c r="GT17" s="528"/>
      <c r="GU17" s="528"/>
      <c r="GV17" s="528"/>
      <c r="GW17" s="528"/>
      <c r="GX17" s="528"/>
      <c r="GY17" s="528"/>
      <c r="GZ17" s="528"/>
      <c r="HA17" s="528"/>
      <c r="HB17" s="528"/>
      <c r="HC17" s="528"/>
      <c r="HD17" s="528"/>
      <c r="HE17" s="528"/>
      <c r="HF17" s="528"/>
      <c r="HG17" s="528"/>
      <c r="HH17" s="528"/>
      <c r="HI17" s="528"/>
      <c r="HJ17" s="528"/>
      <c r="HK17" s="528"/>
      <c r="HL17" s="528"/>
      <c r="HM17" s="528"/>
      <c r="HN17" s="528"/>
      <c r="HO17" s="528"/>
      <c r="HP17" s="528"/>
      <c r="HQ17" s="528"/>
      <c r="HR17" s="528"/>
      <c r="HS17" s="528"/>
      <c r="HT17" s="528"/>
      <c r="HU17" s="528"/>
      <c r="HV17" s="528"/>
      <c r="HW17" s="528"/>
      <c r="HX17" s="528"/>
      <c r="HY17" s="528"/>
      <c r="HZ17" s="528"/>
      <c r="IA17" s="528"/>
      <c r="IB17" s="528"/>
      <c r="IC17" s="528"/>
      <c r="ID17" s="528"/>
      <c r="IE17" s="528"/>
      <c r="IF17" s="528"/>
      <c r="IG17" s="528"/>
      <c r="IH17" s="528"/>
      <c r="II17" s="528"/>
      <c r="IJ17" s="528"/>
      <c r="IK17" s="528"/>
      <c r="IL17" s="528"/>
      <c r="IM17" s="528"/>
      <c r="IN17" s="528"/>
      <c r="IO17" s="528"/>
      <c r="IP17" s="528"/>
      <c r="IQ17" s="528"/>
      <c r="IR17" s="528"/>
      <c r="IS17" s="528"/>
      <c r="IT17" s="528"/>
      <c r="IU17" s="528"/>
      <c r="IV17" s="528"/>
      <c r="IW17" s="528"/>
      <c r="IX17" s="528"/>
      <c r="IY17" s="528"/>
      <c r="IZ17" s="528"/>
      <c r="JA17" s="528"/>
      <c r="JB17" s="528"/>
      <c r="JC17" s="528"/>
      <c r="JD17" s="528"/>
      <c r="JE17" s="528"/>
      <c r="JF17" s="528"/>
      <c r="JG17" s="528"/>
      <c r="JH17" s="528"/>
      <c r="JI17" s="528"/>
      <c r="JJ17" s="528"/>
      <c r="JK17" s="528"/>
      <c r="JL17" s="528"/>
      <c r="JM17" s="528"/>
      <c r="JN17" s="528"/>
      <c r="JO17" s="528"/>
      <c r="JP17" s="528"/>
      <c r="JQ17" s="528"/>
      <c r="JR17" s="528"/>
      <c r="JS17" s="528"/>
      <c r="JT17" s="528"/>
      <c r="JU17" s="528"/>
      <c r="JV17" s="528"/>
      <c r="JW17" s="528"/>
      <c r="JX17" s="528"/>
      <c r="JY17" s="528"/>
      <c r="JZ17" s="528"/>
      <c r="KA17" s="528"/>
      <c r="KB17" s="528"/>
      <c r="KC17" s="528"/>
      <c r="KD17" s="528"/>
      <c r="KE17" s="528"/>
      <c r="KF17" s="528"/>
      <c r="KG17" s="528"/>
      <c r="KH17" s="528"/>
      <c r="KI17" s="528"/>
      <c r="KJ17" s="528"/>
      <c r="KK17" s="528"/>
      <c r="KL17" s="528"/>
      <c r="KM17" s="528"/>
      <c r="KN17" s="528"/>
      <c r="KO17" s="528"/>
      <c r="KP17" s="528"/>
      <c r="KQ17" s="528"/>
      <c r="KR17" s="528"/>
      <c r="KS17" s="528"/>
      <c r="KT17" s="528"/>
      <c r="KU17" s="528"/>
      <c r="KV17" s="528"/>
      <c r="KW17" s="528"/>
      <c r="KX17" s="528"/>
      <c r="KY17" s="528"/>
      <c r="KZ17" s="528"/>
      <c r="LA17" s="528"/>
      <c r="LB17" s="528"/>
      <c r="LC17" s="528"/>
      <c r="LD17" s="528"/>
      <c r="LE17" s="528"/>
      <c r="LF17" s="528"/>
      <c r="LG17" s="528"/>
      <c r="LH17" s="528"/>
      <c r="LI17" s="528"/>
      <c r="LJ17" s="528"/>
      <c r="LK17" s="528"/>
      <c r="LL17" s="528"/>
      <c r="LM17" s="528"/>
      <c r="LN17" s="528"/>
      <c r="LO17" s="528"/>
      <c r="LP17" s="528"/>
      <c r="LQ17" s="528"/>
      <c r="LR17" s="528"/>
      <c r="LS17" s="528"/>
      <c r="LT17" s="528"/>
      <c r="LU17" s="528"/>
      <c r="LV17" s="528"/>
      <c r="LW17" s="528"/>
      <c r="LX17" s="528"/>
      <c r="LY17" s="528"/>
      <c r="LZ17" s="528"/>
      <c r="MA17" s="528"/>
      <c r="MB17" s="528"/>
      <c r="MC17" s="528"/>
      <c r="MD17" s="528"/>
      <c r="ME17" s="528"/>
      <c r="MF17" s="528"/>
      <c r="MG17" s="528"/>
      <c r="MH17" s="528"/>
      <c r="MI17" s="528"/>
      <c r="MJ17" s="528"/>
      <c r="MK17" s="528"/>
      <c r="ML17" s="528"/>
      <c r="MM17" s="528"/>
      <c r="MN17" s="528"/>
      <c r="MO17" s="528"/>
      <c r="MP17" s="528"/>
      <c r="MQ17" s="528"/>
      <c r="MR17" s="528"/>
      <c r="MS17" s="528"/>
      <c r="MT17" s="528"/>
      <c r="MU17" s="528"/>
      <c r="MV17" s="528"/>
      <c r="MW17" s="528"/>
      <c r="MX17" s="528"/>
      <c r="MY17" s="528"/>
      <c r="MZ17" s="528"/>
      <c r="NA17" s="528"/>
      <c r="NB17" s="528"/>
      <c r="NC17" s="528"/>
      <c r="ND17" s="528"/>
      <c r="NE17" s="528"/>
      <c r="NF17" s="528"/>
      <c r="NG17" s="528"/>
      <c r="NH17" s="528"/>
      <c r="NI17" s="528"/>
      <c r="NJ17" s="528"/>
      <c r="NK17" s="528"/>
      <c r="NL17" s="528"/>
      <c r="NM17" s="528"/>
      <c r="NN17" s="528"/>
      <c r="NO17" s="528"/>
      <c r="NP17" s="528"/>
      <c r="NQ17" s="528"/>
      <c r="NR17" s="528"/>
      <c r="NS17" s="528"/>
      <c r="NT17" s="528"/>
      <c r="NU17" s="528"/>
      <c r="NV17" s="528"/>
      <c r="NW17" s="528"/>
      <c r="NX17" s="528"/>
      <c r="NY17" s="528"/>
      <c r="NZ17" s="528"/>
      <c r="OA17" s="528"/>
      <c r="OB17" s="528"/>
      <c r="OC17" s="528"/>
      <c r="OD17" s="528"/>
      <c r="OE17" s="528"/>
      <c r="OF17" s="528"/>
      <c r="OG17" s="528"/>
      <c r="OH17" s="528"/>
      <c r="OI17" s="528"/>
      <c r="OJ17" s="528"/>
      <c r="OK17" s="528"/>
      <c r="OL17" s="528"/>
      <c r="OM17" s="528"/>
      <c r="ON17" s="528"/>
      <c r="OO17" s="528"/>
      <c r="OP17" s="528"/>
      <c r="OQ17" s="528"/>
      <c r="OR17" s="528"/>
      <c r="OS17" s="528"/>
      <c r="OT17" s="528"/>
      <c r="OU17" s="528"/>
      <c r="OV17" s="528"/>
      <c r="OW17" s="528"/>
      <c r="OX17" s="528"/>
      <c r="OY17" s="528"/>
      <c r="OZ17" s="528"/>
      <c r="PA17" s="528"/>
      <c r="PB17" s="528"/>
      <c r="PC17" s="528"/>
      <c r="PD17" s="528"/>
      <c r="PE17" s="528"/>
      <c r="PF17" s="528"/>
      <c r="PG17" s="528"/>
      <c r="PH17" s="528"/>
      <c r="PI17" s="528"/>
      <c r="PJ17" s="528"/>
      <c r="PK17" s="528"/>
      <c r="PL17" s="528"/>
      <c r="PM17" s="528"/>
      <c r="PN17" s="528"/>
      <c r="PO17" s="528"/>
      <c r="PP17" s="528"/>
      <c r="PQ17" s="528"/>
      <c r="PR17" s="528"/>
      <c r="PS17" s="528"/>
      <c r="PT17" s="528"/>
      <c r="PU17" s="528"/>
      <c r="PV17" s="528"/>
      <c r="PW17" s="528"/>
      <c r="PX17" s="528"/>
      <c r="PY17" s="528"/>
      <c r="PZ17" s="528"/>
      <c r="QA17" s="528"/>
      <c r="QB17" s="528"/>
      <c r="QC17" s="528"/>
      <c r="QD17" s="528"/>
      <c r="QE17" s="528"/>
      <c r="QF17" s="528"/>
      <c r="QG17" s="528"/>
      <c r="QH17" s="528"/>
      <c r="QI17" s="528"/>
      <c r="QJ17" s="528"/>
      <c r="QK17" s="528"/>
      <c r="QL17" s="528"/>
      <c r="QM17" s="528"/>
      <c r="QN17" s="528"/>
      <c r="QO17" s="528"/>
      <c r="QP17" s="528"/>
      <c r="QQ17" s="528"/>
      <c r="QR17" s="528"/>
      <c r="QS17" s="528"/>
      <c r="QT17" s="528"/>
      <c r="QU17" s="528"/>
      <c r="QV17" s="528"/>
      <c r="QW17" s="528"/>
      <c r="QX17" s="528"/>
      <c r="QY17" s="528"/>
      <c r="QZ17" s="528"/>
      <c r="RA17" s="528"/>
      <c r="RB17" s="528"/>
      <c r="RC17" s="528"/>
      <c r="RD17" s="528"/>
      <c r="RE17" s="528"/>
      <c r="RF17" s="528"/>
      <c r="RG17" s="528"/>
      <c r="RH17" s="528"/>
      <c r="RI17" s="528"/>
      <c r="RJ17" s="528"/>
      <c r="RK17" s="528"/>
      <c r="RL17" s="528"/>
      <c r="RM17" s="528"/>
      <c r="RN17" s="528"/>
      <c r="RO17" s="528"/>
      <c r="RP17" s="528"/>
      <c r="RQ17" s="528"/>
      <c r="RR17" s="528"/>
      <c r="RS17" s="528"/>
      <c r="RT17" s="528"/>
      <c r="RU17" s="528"/>
      <c r="RV17" s="528"/>
      <c r="RW17" s="528"/>
      <c r="RX17" s="528"/>
    </row>
    <row r="18" spans="1:492" s="529" customFormat="1" ht="27.5">
      <c r="A18" s="548" t="s">
        <v>470</v>
      </c>
      <c r="B18" s="573" t="s">
        <v>471</v>
      </c>
      <c r="C18" s="534"/>
      <c r="D18" s="534"/>
      <c r="E18" s="534"/>
      <c r="F18" s="534"/>
      <c r="G18" s="534"/>
      <c r="H18" s="534"/>
      <c r="I18" s="534"/>
      <c r="J18" s="534"/>
      <c r="K18" s="534"/>
      <c r="L18" s="534"/>
      <c r="M18" s="534"/>
      <c r="N18" s="534"/>
      <c r="O18" s="534"/>
      <c r="P18" s="534"/>
      <c r="Q18" s="534"/>
      <c r="R18" s="534"/>
      <c r="S18" s="534"/>
      <c r="T18" s="534"/>
      <c r="U18" s="534"/>
      <c r="V18" s="534"/>
      <c r="W18" s="534"/>
      <c r="X18" s="534"/>
      <c r="Y18" s="534"/>
      <c r="Z18" s="534"/>
      <c r="AA18" s="534"/>
      <c r="AB18" s="534"/>
      <c r="AC18" s="534"/>
      <c r="AD18" s="534"/>
      <c r="AE18" s="534"/>
      <c r="AF18" s="534"/>
      <c r="AG18" s="534"/>
      <c r="AH18" s="534"/>
      <c r="AI18" s="534"/>
      <c r="AJ18" s="534"/>
      <c r="AK18" s="534"/>
      <c r="AL18" s="534"/>
      <c r="AM18" s="562"/>
      <c r="AN18" s="531"/>
      <c r="AO18" s="531"/>
      <c r="AP18" s="531"/>
      <c r="AQ18" s="563"/>
      <c r="AR18" s="532"/>
      <c r="AS18" s="532"/>
      <c r="AT18" s="532"/>
      <c r="AU18" s="532"/>
      <c r="AV18" s="532"/>
      <c r="AW18" s="531"/>
      <c r="AX18" s="531"/>
      <c r="AY18" s="531"/>
      <c r="AZ18" s="531"/>
      <c r="BA18" s="531"/>
      <c r="BB18" s="569"/>
      <c r="BC18" s="533"/>
      <c r="BD18" s="533"/>
      <c r="BE18" s="533"/>
      <c r="BF18" s="568"/>
      <c r="BG18" s="531"/>
      <c r="BH18" s="531"/>
      <c r="BI18" s="539">
        <v>3690.8</v>
      </c>
      <c r="BJ18" s="539">
        <f>3680.6-SUM(BG18:BI18)</f>
        <v>-10.200000000000273</v>
      </c>
      <c r="BK18" s="577">
        <f t="shared" si="18"/>
        <v>3680.6</v>
      </c>
      <c r="BL18" s="747">
        <v>0</v>
      </c>
      <c r="BM18" s="762">
        <v>0</v>
      </c>
      <c r="BN18" s="539">
        <v>113.4</v>
      </c>
      <c r="BO18" s="539">
        <v>39.799999999999997</v>
      </c>
      <c r="BP18" s="577">
        <f t="shared" si="19"/>
        <v>153.19999999999999</v>
      </c>
      <c r="BQ18" s="747">
        <v>0</v>
      </c>
      <c r="BR18" s="762">
        <v>0</v>
      </c>
      <c r="BS18" s="539">
        <v>220.1</v>
      </c>
      <c r="BT18" s="761">
        <v>-0.4</v>
      </c>
      <c r="BU18" s="577">
        <f t="shared" si="21"/>
        <v>219.7</v>
      </c>
      <c r="BV18" s="747">
        <v>10</v>
      </c>
      <c r="BW18" s="762">
        <v>0</v>
      </c>
      <c r="BX18" s="539"/>
      <c r="BY18" s="761"/>
      <c r="BZ18" s="577">
        <f t="shared" si="22"/>
        <v>10</v>
      </c>
      <c r="CB18" s="944"/>
    </row>
    <row r="19" spans="1:492" s="529" customFormat="1" ht="20.149999999999999" customHeight="1" thickBot="1">
      <c r="A19" s="548" t="s">
        <v>96</v>
      </c>
      <c r="B19" s="573" t="s">
        <v>472</v>
      </c>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62"/>
      <c r="AN19" s="531"/>
      <c r="AO19" s="531"/>
      <c r="AP19" s="531"/>
      <c r="AQ19" s="563"/>
      <c r="AR19" s="531"/>
      <c r="AS19" s="531"/>
      <c r="AT19" s="531"/>
      <c r="AU19" s="531"/>
      <c r="AV19" s="532"/>
      <c r="AW19" s="531"/>
      <c r="AX19" s="531"/>
      <c r="AY19" s="531"/>
      <c r="AZ19" s="531"/>
      <c r="BA19" s="531"/>
      <c r="BB19" s="569"/>
      <c r="BC19" s="533"/>
      <c r="BD19" s="533"/>
      <c r="BE19" s="533"/>
      <c r="BF19" s="568"/>
      <c r="BG19" s="531"/>
      <c r="BH19" s="531"/>
      <c r="BI19" s="539"/>
      <c r="BJ19" s="539"/>
      <c r="BK19" s="577"/>
      <c r="BL19" s="539">
        <v>-34.1</v>
      </c>
      <c r="BM19" s="761">
        <v>0</v>
      </c>
      <c r="BN19" s="539">
        <v>0</v>
      </c>
      <c r="BO19" s="539"/>
      <c r="BP19" s="577">
        <f t="shared" si="19"/>
        <v>-34.1</v>
      </c>
      <c r="BQ19" s="747">
        <v>0</v>
      </c>
      <c r="BR19" s="762">
        <v>0</v>
      </c>
      <c r="BS19" s="762">
        <v>0</v>
      </c>
      <c r="BT19" s="761"/>
      <c r="BU19" s="577">
        <f t="shared" si="21"/>
        <v>0</v>
      </c>
      <c r="BV19" s="747">
        <v>0</v>
      </c>
      <c r="BW19" s="762">
        <v>0</v>
      </c>
      <c r="BX19" s="762"/>
      <c r="BY19" s="761"/>
      <c r="BZ19" s="577">
        <f t="shared" si="22"/>
        <v>0</v>
      </c>
      <c r="CB19" s="944"/>
    </row>
    <row r="20" spans="1:492" s="65" customFormat="1" ht="20.25" customHeight="1" thickBot="1">
      <c r="A20" s="547" t="s">
        <v>473</v>
      </c>
      <c r="B20" s="572" t="s">
        <v>474</v>
      </c>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425"/>
      <c r="AL20" s="425"/>
      <c r="AM20" s="560">
        <f>SUM(AM21:AM22)</f>
        <v>890</v>
      </c>
      <c r="AN20" s="426">
        <f t="shared" ref="AN20:AQ20" si="28">SUM(AN21:AN22)</f>
        <v>946.40000000000009</v>
      </c>
      <c r="AO20" s="426">
        <f t="shared" si="28"/>
        <v>920</v>
      </c>
      <c r="AP20" s="426">
        <f t="shared" si="28"/>
        <v>941.3</v>
      </c>
      <c r="AQ20" s="561">
        <f t="shared" si="28"/>
        <v>3697.7</v>
      </c>
      <c r="AR20" s="426"/>
      <c r="AS20" s="426"/>
      <c r="AT20" s="426"/>
      <c r="AU20" s="426"/>
      <c r="AV20" s="427"/>
      <c r="AW20" s="426">
        <f t="shared" ref="AW20:BE20" si="29">SUM(AW21:AW22)</f>
        <v>1038.3</v>
      </c>
      <c r="AX20" s="426">
        <f t="shared" si="29"/>
        <v>1076.0999999999999</v>
      </c>
      <c r="AY20" s="426">
        <f t="shared" si="29"/>
        <v>1020.4999999999999</v>
      </c>
      <c r="AZ20" s="426">
        <f t="shared" si="29"/>
        <v>1061.8000000000004</v>
      </c>
      <c r="BA20" s="552">
        <f t="shared" si="29"/>
        <v>4196.7</v>
      </c>
      <c r="BB20" s="560">
        <f t="shared" si="29"/>
        <v>1026.7</v>
      </c>
      <c r="BC20" s="426">
        <f t="shared" si="29"/>
        <v>960</v>
      </c>
      <c r="BD20" s="426">
        <f t="shared" si="29"/>
        <v>1078.9000000000001</v>
      </c>
      <c r="BE20" s="426">
        <f t="shared" si="29"/>
        <v>1126.3</v>
      </c>
      <c r="BF20" s="561">
        <f>SUM(BF21:BF22)</f>
        <v>4191.9000000000005</v>
      </c>
      <c r="BG20" s="426">
        <f>SUM(BG21:BG22)</f>
        <v>1082.7</v>
      </c>
      <c r="BH20" s="426">
        <f t="shared" ref="BH20:BJ20" si="30">SUM(BH21:BH22)</f>
        <v>1140.9000000000001</v>
      </c>
      <c r="BI20" s="426">
        <f t="shared" si="30"/>
        <v>4594.9999999999991</v>
      </c>
      <c r="BJ20" s="426">
        <f t="shared" si="30"/>
        <v>881.00000000000011</v>
      </c>
      <c r="BK20" s="561">
        <f>SUM(BK21:BK22)</f>
        <v>7699.6</v>
      </c>
      <c r="BL20" s="426">
        <f>SUM(BL21:BL23)</f>
        <v>766.6</v>
      </c>
      <c r="BM20" s="759">
        <f>SUM(BM21:BM25)</f>
        <v>893.3</v>
      </c>
      <c r="BN20" s="426">
        <f>SUM(BN21:BN25)</f>
        <v>952.99999999999966</v>
      </c>
      <c r="BO20" s="426">
        <f>SUM(BO21:BO25)</f>
        <v>858.30000000000007</v>
      </c>
      <c r="BP20" s="561">
        <f>SUM(BP21:BP25)</f>
        <v>3471.2000000000003</v>
      </c>
      <c r="BQ20" s="426">
        <f>SUM(BQ21:BQ25)</f>
        <v>761.2</v>
      </c>
      <c r="BR20" s="426">
        <f t="shared" ref="BR20:BT20" si="31">SUM(BR21:BR25)</f>
        <v>798.5</v>
      </c>
      <c r="BS20" s="426">
        <f t="shared" si="31"/>
        <v>994.8</v>
      </c>
      <c r="BT20" s="426">
        <f t="shared" si="31"/>
        <v>676.7</v>
      </c>
      <c r="BU20" s="561">
        <f>SUM(BU21:BU25)</f>
        <v>3231.2000000000003</v>
      </c>
      <c r="BV20" s="426">
        <f>SUM(BV21:BV25)</f>
        <v>946.3</v>
      </c>
      <c r="BW20" s="426">
        <f t="shared" ref="BW20:BY20" si="32">SUM(BW21:BW25)</f>
        <v>865</v>
      </c>
      <c r="BX20" s="426">
        <f t="shared" si="32"/>
        <v>0</v>
      </c>
      <c r="BY20" s="426">
        <f t="shared" si="32"/>
        <v>0</v>
      </c>
      <c r="BZ20" s="561">
        <f>SUM(BZ21:BZ25)</f>
        <v>1811.3</v>
      </c>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row>
    <row r="21" spans="1:492" s="529" customFormat="1" ht="20.149999999999999" customHeight="1">
      <c r="A21" s="546" t="s">
        <v>455</v>
      </c>
      <c r="B21" s="571" t="s">
        <v>456</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57">
        <v>755</v>
      </c>
      <c r="AN21" s="527">
        <v>795.2</v>
      </c>
      <c r="AO21" s="527">
        <v>825.7</v>
      </c>
      <c r="AP21" s="527">
        <v>769</v>
      </c>
      <c r="AQ21" s="558">
        <f>SUM(AM21:AP21)</f>
        <v>3144.9</v>
      </c>
      <c r="AR21" s="527"/>
      <c r="AS21" s="527"/>
      <c r="AT21" s="527"/>
      <c r="AU21" s="527"/>
      <c r="AV21" s="522"/>
      <c r="AW21" s="527">
        <v>892.6</v>
      </c>
      <c r="AX21" s="527">
        <v>914.49999999999989</v>
      </c>
      <c r="AY21" s="527">
        <v>925.59999999999991</v>
      </c>
      <c r="AZ21" s="527">
        <v>867.10000000000036</v>
      </c>
      <c r="BA21" s="533">
        <f>SUM(AW21:AZ21)</f>
        <v>3599.8</v>
      </c>
      <c r="BB21" s="557">
        <v>879.6</v>
      </c>
      <c r="BC21" s="527">
        <v>841.4</v>
      </c>
      <c r="BD21" s="527">
        <v>943.80000000000018</v>
      </c>
      <c r="BE21" s="527">
        <v>925</v>
      </c>
      <c r="BF21" s="558">
        <f>SUM(BB21:BE21)</f>
        <v>3589.8</v>
      </c>
      <c r="BG21" s="527">
        <v>936.6</v>
      </c>
      <c r="BH21" s="527">
        <v>951.80000000000007</v>
      </c>
      <c r="BI21" s="527">
        <v>4477.0999999999995</v>
      </c>
      <c r="BJ21" s="527">
        <f>7070.3-SUM(BG21:BI21)</f>
        <v>704.80000000000018</v>
      </c>
      <c r="BK21" s="558">
        <f>SUM(BG21:BJ21)</f>
        <v>7070.3</v>
      </c>
      <c r="BL21" s="527">
        <v>671.1</v>
      </c>
      <c r="BM21" s="521">
        <f>1420.5-BL21</f>
        <v>749.4</v>
      </c>
      <c r="BN21" s="527">
        <f>2292.1-BM21-BL21</f>
        <v>871.5999999999998</v>
      </c>
      <c r="BO21" s="527">
        <f>2914.4-BN21-BM21-BL21</f>
        <v>622.30000000000007</v>
      </c>
      <c r="BP21" s="558">
        <f>SUM(BL21:BO21)</f>
        <v>2914.4</v>
      </c>
      <c r="BQ21" s="527">
        <v>663.2</v>
      </c>
      <c r="BR21" s="521">
        <v>635</v>
      </c>
      <c r="BS21" s="527">
        <v>878.39999999999986</v>
      </c>
      <c r="BT21" s="527">
        <v>536.20000000000005</v>
      </c>
      <c r="BU21" s="558">
        <f>SUM(BQ21:BT21)</f>
        <v>2712.8</v>
      </c>
      <c r="BV21" s="939">
        <v>777.8</v>
      </c>
      <c r="BW21" s="521">
        <v>646.29999999999995</v>
      </c>
      <c r="BX21" s="527"/>
      <c r="BY21" s="527"/>
      <c r="BZ21" s="558">
        <f>SUM(BV21:BY21)</f>
        <v>1424.1</v>
      </c>
      <c r="CA21" s="528"/>
      <c r="CB21" s="944"/>
      <c r="CC21" s="528"/>
      <c r="CD21" s="528"/>
      <c r="CE21" s="528"/>
      <c r="CF21" s="528"/>
      <c r="CG21" s="528"/>
      <c r="CH21" s="528"/>
      <c r="CI21" s="528"/>
      <c r="CJ21" s="528"/>
      <c r="CK21" s="528"/>
      <c r="CL21" s="528"/>
      <c r="CM21" s="528"/>
      <c r="CN21" s="528"/>
      <c r="CO21" s="528"/>
      <c r="CP21" s="528"/>
      <c r="CQ21" s="528"/>
      <c r="CR21" s="528"/>
      <c r="CS21" s="528"/>
      <c r="CT21" s="528"/>
      <c r="CU21" s="528"/>
      <c r="CV21" s="528"/>
      <c r="CW21" s="528"/>
      <c r="CX21" s="528"/>
      <c r="CY21" s="528"/>
      <c r="CZ21" s="528"/>
      <c r="DA21" s="528"/>
      <c r="DB21" s="528"/>
      <c r="DC21" s="528"/>
      <c r="DD21" s="528"/>
      <c r="DE21" s="528"/>
      <c r="DF21" s="528"/>
      <c r="DG21" s="528"/>
      <c r="DH21" s="528"/>
      <c r="DI21" s="528"/>
      <c r="DJ21" s="528"/>
      <c r="DK21" s="528"/>
      <c r="DL21" s="528"/>
      <c r="DM21" s="528"/>
      <c r="DN21" s="528"/>
      <c r="DO21" s="528"/>
      <c r="DP21" s="528"/>
      <c r="DQ21" s="528"/>
      <c r="DR21" s="528"/>
      <c r="DS21" s="528"/>
      <c r="DT21" s="528"/>
      <c r="DU21" s="528"/>
      <c r="DV21" s="528"/>
      <c r="DW21" s="528"/>
      <c r="DX21" s="528"/>
      <c r="DY21" s="528"/>
      <c r="DZ21" s="528"/>
      <c r="EA21" s="528"/>
      <c r="EB21" s="528"/>
      <c r="EC21" s="528"/>
      <c r="ED21" s="528"/>
      <c r="EE21" s="528"/>
      <c r="EF21" s="528"/>
      <c r="EG21" s="528"/>
      <c r="EH21" s="528"/>
      <c r="EI21" s="528"/>
      <c r="EJ21" s="528"/>
      <c r="EK21" s="528"/>
      <c r="EL21" s="528"/>
      <c r="EM21" s="528"/>
      <c r="EN21" s="528"/>
      <c r="EO21" s="528"/>
      <c r="EP21" s="528"/>
      <c r="EQ21" s="528"/>
      <c r="ER21" s="528"/>
      <c r="ES21" s="528"/>
      <c r="ET21" s="528"/>
      <c r="EU21" s="528"/>
      <c r="EV21" s="528"/>
      <c r="EW21" s="528"/>
      <c r="EX21" s="528"/>
      <c r="EY21" s="528"/>
      <c r="EZ21" s="528"/>
      <c r="FA21" s="528"/>
      <c r="FB21" s="528"/>
      <c r="FC21" s="528"/>
      <c r="FD21" s="528"/>
      <c r="FE21" s="528"/>
      <c r="FF21" s="528"/>
      <c r="FG21" s="528"/>
      <c r="FH21" s="528"/>
      <c r="FI21" s="528"/>
      <c r="FJ21" s="528"/>
      <c r="FK21" s="528"/>
      <c r="FL21" s="528"/>
      <c r="FM21" s="528"/>
      <c r="FN21" s="528"/>
      <c r="FO21" s="528"/>
      <c r="FP21" s="528"/>
      <c r="FQ21" s="528"/>
      <c r="FR21" s="528"/>
      <c r="FS21" s="528"/>
      <c r="FT21" s="528"/>
      <c r="FU21" s="528"/>
      <c r="FV21" s="528"/>
      <c r="FW21" s="528"/>
      <c r="FX21" s="528"/>
      <c r="FY21" s="528"/>
      <c r="FZ21" s="528"/>
      <c r="GA21" s="528"/>
      <c r="GB21" s="528"/>
      <c r="GC21" s="528"/>
      <c r="GD21" s="528"/>
      <c r="GE21" s="528"/>
      <c r="GF21" s="528"/>
      <c r="GG21" s="528"/>
      <c r="GH21" s="528"/>
      <c r="GI21" s="528"/>
      <c r="GJ21" s="528"/>
      <c r="GK21" s="528"/>
      <c r="GL21" s="528"/>
      <c r="GM21" s="528"/>
      <c r="GN21" s="528"/>
      <c r="GO21" s="528"/>
      <c r="GP21" s="528"/>
      <c r="GQ21" s="528"/>
      <c r="GR21" s="528"/>
      <c r="GS21" s="528"/>
      <c r="GT21" s="528"/>
      <c r="GU21" s="528"/>
      <c r="GV21" s="528"/>
      <c r="GW21" s="528"/>
      <c r="GX21" s="528"/>
      <c r="GY21" s="528"/>
      <c r="GZ21" s="528"/>
      <c r="HA21" s="528"/>
      <c r="HB21" s="528"/>
      <c r="HC21" s="528"/>
      <c r="HD21" s="528"/>
      <c r="HE21" s="528"/>
      <c r="HF21" s="528"/>
      <c r="HG21" s="528"/>
      <c r="HH21" s="528"/>
      <c r="HI21" s="528"/>
      <c r="HJ21" s="528"/>
      <c r="HK21" s="528"/>
      <c r="HL21" s="528"/>
      <c r="HM21" s="528"/>
      <c r="HN21" s="528"/>
      <c r="HO21" s="528"/>
      <c r="HP21" s="528"/>
      <c r="HQ21" s="528"/>
      <c r="HR21" s="528"/>
      <c r="HS21" s="528"/>
      <c r="HT21" s="528"/>
      <c r="HU21" s="528"/>
      <c r="HV21" s="528"/>
      <c r="HW21" s="528"/>
      <c r="HX21" s="528"/>
      <c r="HY21" s="528"/>
      <c r="HZ21" s="528"/>
      <c r="IA21" s="528"/>
      <c r="IB21" s="528"/>
      <c r="IC21" s="528"/>
      <c r="ID21" s="528"/>
      <c r="IE21" s="528"/>
      <c r="IF21" s="528"/>
      <c r="IG21" s="528"/>
      <c r="IH21" s="528"/>
      <c r="II21" s="528"/>
      <c r="IJ21" s="528"/>
      <c r="IK21" s="528"/>
      <c r="IL21" s="528"/>
      <c r="IM21" s="528"/>
      <c r="IN21" s="528"/>
      <c r="IO21" s="528"/>
      <c r="IP21" s="528"/>
      <c r="IQ21" s="528"/>
      <c r="IR21" s="528"/>
      <c r="IS21" s="528"/>
      <c r="IT21" s="528"/>
      <c r="IU21" s="528"/>
      <c r="IV21" s="528"/>
      <c r="IW21" s="528"/>
      <c r="IX21" s="528"/>
      <c r="IY21" s="528"/>
      <c r="IZ21" s="528"/>
      <c r="JA21" s="528"/>
      <c r="JB21" s="528"/>
      <c r="JC21" s="528"/>
      <c r="JD21" s="528"/>
      <c r="JE21" s="528"/>
      <c r="JF21" s="528"/>
      <c r="JG21" s="528"/>
      <c r="JH21" s="528"/>
      <c r="JI21" s="528"/>
      <c r="JJ21" s="528"/>
      <c r="JK21" s="528"/>
      <c r="JL21" s="528"/>
      <c r="JM21" s="528"/>
      <c r="JN21" s="528"/>
      <c r="JO21" s="528"/>
      <c r="JP21" s="528"/>
      <c r="JQ21" s="528"/>
      <c r="JR21" s="528"/>
      <c r="JS21" s="528"/>
      <c r="JT21" s="528"/>
      <c r="JU21" s="528"/>
      <c r="JV21" s="528"/>
      <c r="JW21" s="528"/>
      <c r="JX21" s="528"/>
      <c r="JY21" s="528"/>
      <c r="JZ21" s="528"/>
      <c r="KA21" s="528"/>
      <c r="KB21" s="528"/>
      <c r="KC21" s="528"/>
      <c r="KD21" s="528"/>
      <c r="KE21" s="528"/>
      <c r="KF21" s="528"/>
      <c r="KG21" s="528"/>
      <c r="KH21" s="528"/>
      <c r="KI21" s="528"/>
      <c r="KJ21" s="528"/>
      <c r="KK21" s="528"/>
      <c r="KL21" s="528"/>
      <c r="KM21" s="528"/>
      <c r="KN21" s="528"/>
      <c r="KO21" s="528"/>
      <c r="KP21" s="528"/>
      <c r="KQ21" s="528"/>
      <c r="KR21" s="528"/>
      <c r="KS21" s="528"/>
      <c r="KT21" s="528"/>
      <c r="KU21" s="528"/>
      <c r="KV21" s="528"/>
      <c r="KW21" s="528"/>
      <c r="KX21" s="528"/>
      <c r="KY21" s="528"/>
      <c r="KZ21" s="528"/>
      <c r="LA21" s="528"/>
      <c r="LB21" s="528"/>
      <c r="LC21" s="528"/>
      <c r="LD21" s="528"/>
      <c r="LE21" s="528"/>
      <c r="LF21" s="528"/>
      <c r="LG21" s="528"/>
      <c r="LH21" s="528"/>
      <c r="LI21" s="528"/>
      <c r="LJ21" s="528"/>
      <c r="LK21" s="528"/>
      <c r="LL21" s="528"/>
      <c r="LM21" s="528"/>
      <c r="LN21" s="528"/>
      <c r="LO21" s="528"/>
      <c r="LP21" s="528"/>
      <c r="LQ21" s="528"/>
      <c r="LR21" s="528"/>
      <c r="LS21" s="528"/>
      <c r="LT21" s="528"/>
      <c r="LU21" s="528"/>
      <c r="LV21" s="528"/>
      <c r="LW21" s="528"/>
      <c r="LX21" s="528"/>
      <c r="LY21" s="528"/>
      <c r="LZ21" s="528"/>
      <c r="MA21" s="528"/>
      <c r="MB21" s="528"/>
      <c r="MC21" s="528"/>
      <c r="MD21" s="528"/>
      <c r="ME21" s="528"/>
      <c r="MF21" s="528"/>
      <c r="MG21" s="528"/>
      <c r="MH21" s="528"/>
      <c r="MI21" s="528"/>
      <c r="MJ21" s="528"/>
      <c r="MK21" s="528"/>
      <c r="ML21" s="528"/>
      <c r="MM21" s="528"/>
      <c r="MN21" s="528"/>
      <c r="MO21" s="528"/>
      <c r="MP21" s="528"/>
      <c r="MQ21" s="528"/>
      <c r="MR21" s="528"/>
      <c r="MS21" s="528"/>
      <c r="MT21" s="528"/>
      <c r="MU21" s="528"/>
      <c r="MV21" s="528"/>
      <c r="MW21" s="528"/>
      <c r="MX21" s="528"/>
      <c r="MY21" s="528"/>
      <c r="MZ21" s="528"/>
      <c r="NA21" s="528"/>
      <c r="NB21" s="528"/>
      <c r="NC21" s="528"/>
      <c r="ND21" s="528"/>
      <c r="NE21" s="528"/>
      <c r="NF21" s="528"/>
      <c r="NG21" s="528"/>
      <c r="NH21" s="528"/>
      <c r="NI21" s="528"/>
      <c r="NJ21" s="528"/>
      <c r="NK21" s="528"/>
      <c r="NL21" s="528"/>
      <c r="NM21" s="528"/>
      <c r="NN21" s="528"/>
      <c r="NO21" s="528"/>
      <c r="NP21" s="528"/>
      <c r="NQ21" s="528"/>
      <c r="NR21" s="528"/>
      <c r="NS21" s="528"/>
      <c r="NT21" s="528"/>
      <c r="NU21" s="528"/>
      <c r="NV21" s="528"/>
      <c r="NW21" s="528"/>
      <c r="NX21" s="528"/>
      <c r="NY21" s="528"/>
      <c r="NZ21" s="528"/>
      <c r="OA21" s="528"/>
      <c r="OB21" s="528"/>
      <c r="OC21" s="528"/>
      <c r="OD21" s="528"/>
      <c r="OE21" s="528"/>
      <c r="OF21" s="528"/>
      <c r="OG21" s="528"/>
      <c r="OH21" s="528"/>
      <c r="OI21" s="528"/>
      <c r="OJ21" s="528"/>
      <c r="OK21" s="528"/>
      <c r="OL21" s="528"/>
      <c r="OM21" s="528"/>
      <c r="ON21" s="528"/>
      <c r="OO21" s="528"/>
      <c r="OP21" s="528"/>
      <c r="OQ21" s="528"/>
      <c r="OR21" s="528"/>
      <c r="OS21" s="528"/>
      <c r="OT21" s="528"/>
      <c r="OU21" s="528"/>
      <c r="OV21" s="528"/>
      <c r="OW21" s="528"/>
      <c r="OX21" s="528"/>
      <c r="OY21" s="528"/>
      <c r="OZ21" s="528"/>
      <c r="PA21" s="528"/>
      <c r="PB21" s="528"/>
      <c r="PC21" s="528"/>
      <c r="PD21" s="528"/>
      <c r="PE21" s="528"/>
      <c r="PF21" s="528"/>
      <c r="PG21" s="528"/>
      <c r="PH21" s="528"/>
      <c r="PI21" s="528"/>
      <c r="PJ21" s="528"/>
      <c r="PK21" s="528"/>
      <c r="PL21" s="528"/>
      <c r="PM21" s="528"/>
      <c r="PN21" s="528"/>
      <c r="PO21" s="528"/>
      <c r="PP21" s="528"/>
      <c r="PQ21" s="528"/>
      <c r="PR21" s="528"/>
      <c r="PS21" s="528"/>
      <c r="PT21" s="528"/>
      <c r="PU21" s="528"/>
      <c r="PV21" s="528"/>
      <c r="PW21" s="528"/>
      <c r="PX21" s="528"/>
      <c r="PY21" s="528"/>
      <c r="PZ21" s="528"/>
      <c r="QA21" s="528"/>
      <c r="QB21" s="528"/>
      <c r="QC21" s="528"/>
      <c r="QD21" s="528"/>
      <c r="QE21" s="528"/>
      <c r="QF21" s="528"/>
      <c r="QG21" s="528"/>
      <c r="QH21" s="528"/>
      <c r="QI21" s="528"/>
      <c r="QJ21" s="528"/>
      <c r="QK21" s="528"/>
      <c r="QL21" s="528"/>
      <c r="QM21" s="528"/>
      <c r="QN21" s="528"/>
      <c r="QO21" s="528"/>
      <c r="QP21" s="528"/>
      <c r="QQ21" s="528"/>
      <c r="QR21" s="528"/>
      <c r="QS21" s="528"/>
      <c r="QT21" s="528"/>
      <c r="QU21" s="528"/>
      <c r="QV21" s="528"/>
      <c r="QW21" s="528"/>
      <c r="QX21" s="528"/>
      <c r="QY21" s="528"/>
      <c r="QZ21" s="528"/>
      <c r="RA21" s="528"/>
      <c r="RB21" s="528"/>
      <c r="RC21" s="528"/>
      <c r="RD21" s="528"/>
      <c r="RE21" s="528"/>
      <c r="RF21" s="528"/>
      <c r="RG21" s="528"/>
      <c r="RH21" s="528"/>
      <c r="RI21" s="528"/>
      <c r="RJ21" s="528"/>
      <c r="RK21" s="528"/>
      <c r="RL21" s="528"/>
      <c r="RM21" s="528"/>
      <c r="RN21" s="528"/>
      <c r="RO21" s="528"/>
      <c r="RP21" s="528"/>
      <c r="RQ21" s="528"/>
      <c r="RR21" s="528"/>
      <c r="RS21" s="528"/>
      <c r="RT21" s="528"/>
      <c r="RU21" s="528"/>
      <c r="RV21" s="528"/>
      <c r="RW21" s="528"/>
      <c r="RX21" s="528"/>
    </row>
    <row r="22" spans="1:492" s="529" customFormat="1" ht="20.149999999999999" customHeight="1">
      <c r="A22" s="546" t="s">
        <v>457</v>
      </c>
      <c r="B22" s="571" t="s">
        <v>458</v>
      </c>
      <c r="C22" s="526"/>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57">
        <v>135</v>
      </c>
      <c r="AN22" s="527">
        <v>151.19999999999999</v>
      </c>
      <c r="AO22" s="527">
        <v>94.300000000000011</v>
      </c>
      <c r="AP22" s="527">
        <v>172.29999999999995</v>
      </c>
      <c r="AQ22" s="558">
        <f>SUM(AM22:AP22)</f>
        <v>552.79999999999995</v>
      </c>
      <c r="AR22" s="527"/>
      <c r="AS22" s="527"/>
      <c r="AT22" s="527"/>
      <c r="AU22" s="527"/>
      <c r="AV22" s="522"/>
      <c r="AW22" s="527">
        <v>145.69999999999999</v>
      </c>
      <c r="AX22" s="527">
        <v>161.60000000000002</v>
      </c>
      <c r="AY22" s="527">
        <v>94.899999999999977</v>
      </c>
      <c r="AZ22" s="527">
        <v>194.7</v>
      </c>
      <c r="BA22" s="533">
        <f>SUM(AW22:AZ22)</f>
        <v>596.9</v>
      </c>
      <c r="BB22" s="557">
        <v>147.1</v>
      </c>
      <c r="BC22" s="527">
        <v>118.6</v>
      </c>
      <c r="BD22" s="527">
        <v>135.10000000000002</v>
      </c>
      <c r="BE22" s="527">
        <v>201.3</v>
      </c>
      <c r="BF22" s="558">
        <f>SUM(BB22:BE22)</f>
        <v>602.1</v>
      </c>
      <c r="BG22" s="527">
        <v>146.1</v>
      </c>
      <c r="BH22" s="527">
        <v>189.1</v>
      </c>
      <c r="BI22" s="527">
        <v>117.9</v>
      </c>
      <c r="BJ22" s="527">
        <f>629.3-SUM(BG22:BI22)</f>
        <v>176.19999999999993</v>
      </c>
      <c r="BK22" s="558">
        <f>SUM(BG22:BJ22)</f>
        <v>629.29999999999995</v>
      </c>
      <c r="BL22" s="527">
        <v>95.5</v>
      </c>
      <c r="BM22" s="521">
        <f>237.9-BL22</f>
        <v>142.4</v>
      </c>
      <c r="BN22" s="527">
        <f>314.7-BM22-BL22</f>
        <v>76.799999999999983</v>
      </c>
      <c r="BO22" s="527">
        <f>504.9-BN22-BM22-BL22</f>
        <v>190.20000000000005</v>
      </c>
      <c r="BP22" s="558">
        <f>SUM(BL22:BO22)</f>
        <v>504.90000000000003</v>
      </c>
      <c r="BQ22" s="527">
        <v>92.5</v>
      </c>
      <c r="BR22" s="521">
        <v>156.69999999999999</v>
      </c>
      <c r="BS22" s="527">
        <v>83.100000000000023</v>
      </c>
      <c r="BT22" s="527">
        <v>139.69999999999999</v>
      </c>
      <c r="BU22" s="558">
        <f>SUM(BQ22:BT22)</f>
        <v>472</v>
      </c>
      <c r="BV22" s="527">
        <v>110.19999999999999</v>
      </c>
      <c r="BW22" s="521">
        <v>145.19999999999999</v>
      </c>
      <c r="BX22" s="527"/>
      <c r="BY22" s="527"/>
      <c r="BZ22" s="558">
        <f>SUM(BV22:BY22)</f>
        <v>255.39999999999998</v>
      </c>
      <c r="CA22" s="528"/>
      <c r="CB22" s="944"/>
      <c r="CC22" s="528"/>
      <c r="CD22" s="528"/>
      <c r="CE22" s="528"/>
      <c r="CF22" s="528"/>
      <c r="CG22" s="528"/>
      <c r="CH22" s="528"/>
      <c r="CI22" s="528"/>
      <c r="CJ22" s="528"/>
      <c r="CK22" s="528"/>
      <c r="CL22" s="528"/>
      <c r="CM22" s="528"/>
      <c r="CN22" s="528"/>
      <c r="CO22" s="528"/>
      <c r="CP22" s="528"/>
      <c r="CQ22" s="528"/>
      <c r="CR22" s="528"/>
      <c r="CS22" s="528"/>
      <c r="CT22" s="528"/>
      <c r="CU22" s="528"/>
      <c r="CV22" s="528"/>
      <c r="CW22" s="528"/>
      <c r="CX22" s="528"/>
      <c r="CY22" s="528"/>
      <c r="CZ22" s="528"/>
      <c r="DA22" s="528"/>
      <c r="DB22" s="528"/>
      <c r="DC22" s="528"/>
      <c r="DD22" s="528"/>
      <c r="DE22" s="528"/>
      <c r="DF22" s="528"/>
      <c r="DG22" s="528"/>
      <c r="DH22" s="528"/>
      <c r="DI22" s="528"/>
      <c r="DJ22" s="528"/>
      <c r="DK22" s="528"/>
      <c r="DL22" s="528"/>
      <c r="DM22" s="528"/>
      <c r="DN22" s="528"/>
      <c r="DO22" s="528"/>
      <c r="DP22" s="528"/>
      <c r="DQ22" s="528"/>
      <c r="DR22" s="528"/>
      <c r="DS22" s="528"/>
      <c r="DT22" s="528"/>
      <c r="DU22" s="528"/>
      <c r="DV22" s="528"/>
      <c r="DW22" s="528"/>
      <c r="DX22" s="528"/>
      <c r="DY22" s="528"/>
      <c r="DZ22" s="528"/>
      <c r="EA22" s="528"/>
      <c r="EB22" s="528"/>
      <c r="EC22" s="528"/>
      <c r="ED22" s="528"/>
      <c r="EE22" s="528"/>
      <c r="EF22" s="528"/>
      <c r="EG22" s="528"/>
      <c r="EH22" s="528"/>
      <c r="EI22" s="528"/>
      <c r="EJ22" s="528"/>
      <c r="EK22" s="528"/>
      <c r="EL22" s="528"/>
      <c r="EM22" s="528"/>
      <c r="EN22" s="528"/>
      <c r="EO22" s="528"/>
      <c r="EP22" s="528"/>
      <c r="EQ22" s="528"/>
      <c r="ER22" s="528"/>
      <c r="ES22" s="528"/>
      <c r="ET22" s="528"/>
      <c r="EU22" s="528"/>
      <c r="EV22" s="528"/>
      <c r="EW22" s="528"/>
      <c r="EX22" s="528"/>
      <c r="EY22" s="528"/>
      <c r="EZ22" s="528"/>
      <c r="FA22" s="528"/>
      <c r="FB22" s="528"/>
      <c r="FC22" s="528"/>
      <c r="FD22" s="528"/>
      <c r="FE22" s="528"/>
      <c r="FF22" s="528"/>
      <c r="FG22" s="528"/>
      <c r="FH22" s="528"/>
      <c r="FI22" s="528"/>
      <c r="FJ22" s="528"/>
      <c r="FK22" s="528"/>
      <c r="FL22" s="528"/>
      <c r="FM22" s="528"/>
      <c r="FN22" s="528"/>
      <c r="FO22" s="528"/>
      <c r="FP22" s="528"/>
      <c r="FQ22" s="528"/>
      <c r="FR22" s="528"/>
      <c r="FS22" s="528"/>
      <c r="FT22" s="528"/>
      <c r="FU22" s="528"/>
      <c r="FV22" s="528"/>
      <c r="FW22" s="528"/>
      <c r="FX22" s="528"/>
      <c r="FY22" s="528"/>
      <c r="FZ22" s="528"/>
      <c r="GA22" s="528"/>
      <c r="GB22" s="528"/>
      <c r="GC22" s="528"/>
      <c r="GD22" s="528"/>
      <c r="GE22" s="528"/>
      <c r="GF22" s="528"/>
      <c r="GG22" s="528"/>
      <c r="GH22" s="528"/>
      <c r="GI22" s="528"/>
      <c r="GJ22" s="528"/>
      <c r="GK22" s="528"/>
      <c r="GL22" s="528"/>
      <c r="GM22" s="528"/>
      <c r="GN22" s="528"/>
      <c r="GO22" s="528"/>
      <c r="GP22" s="528"/>
      <c r="GQ22" s="528"/>
      <c r="GR22" s="528"/>
      <c r="GS22" s="528"/>
      <c r="GT22" s="528"/>
      <c r="GU22" s="528"/>
      <c r="GV22" s="528"/>
      <c r="GW22" s="528"/>
      <c r="GX22" s="528"/>
      <c r="GY22" s="528"/>
      <c r="GZ22" s="528"/>
      <c r="HA22" s="528"/>
      <c r="HB22" s="528"/>
      <c r="HC22" s="528"/>
      <c r="HD22" s="528"/>
      <c r="HE22" s="528"/>
      <c r="HF22" s="528"/>
      <c r="HG22" s="528"/>
      <c r="HH22" s="528"/>
      <c r="HI22" s="528"/>
      <c r="HJ22" s="528"/>
      <c r="HK22" s="528"/>
      <c r="HL22" s="528"/>
      <c r="HM22" s="528"/>
      <c r="HN22" s="528"/>
      <c r="HO22" s="528"/>
      <c r="HP22" s="528"/>
      <c r="HQ22" s="528"/>
      <c r="HR22" s="528"/>
      <c r="HS22" s="528"/>
      <c r="HT22" s="528"/>
      <c r="HU22" s="528"/>
      <c r="HV22" s="528"/>
      <c r="HW22" s="528"/>
      <c r="HX22" s="528"/>
      <c r="HY22" s="528"/>
      <c r="HZ22" s="528"/>
      <c r="IA22" s="528"/>
      <c r="IB22" s="528"/>
      <c r="IC22" s="528"/>
      <c r="ID22" s="528"/>
      <c r="IE22" s="528"/>
      <c r="IF22" s="528"/>
      <c r="IG22" s="528"/>
      <c r="IH22" s="528"/>
      <c r="II22" s="528"/>
      <c r="IJ22" s="528"/>
      <c r="IK22" s="528"/>
      <c r="IL22" s="528"/>
      <c r="IM22" s="528"/>
      <c r="IN22" s="528"/>
      <c r="IO22" s="528"/>
      <c r="IP22" s="528"/>
      <c r="IQ22" s="528"/>
      <c r="IR22" s="528"/>
      <c r="IS22" s="528"/>
      <c r="IT22" s="528"/>
      <c r="IU22" s="528"/>
      <c r="IV22" s="528"/>
      <c r="IW22" s="528"/>
      <c r="IX22" s="528"/>
      <c r="IY22" s="528"/>
      <c r="IZ22" s="528"/>
      <c r="JA22" s="528"/>
      <c r="JB22" s="528"/>
      <c r="JC22" s="528"/>
      <c r="JD22" s="528"/>
      <c r="JE22" s="528"/>
      <c r="JF22" s="528"/>
      <c r="JG22" s="528"/>
      <c r="JH22" s="528"/>
      <c r="JI22" s="528"/>
      <c r="JJ22" s="528"/>
      <c r="JK22" s="528"/>
      <c r="JL22" s="528"/>
      <c r="JM22" s="528"/>
      <c r="JN22" s="528"/>
      <c r="JO22" s="528"/>
      <c r="JP22" s="528"/>
      <c r="JQ22" s="528"/>
      <c r="JR22" s="528"/>
      <c r="JS22" s="528"/>
      <c r="JT22" s="528"/>
      <c r="JU22" s="528"/>
      <c r="JV22" s="528"/>
      <c r="JW22" s="528"/>
      <c r="JX22" s="528"/>
      <c r="JY22" s="528"/>
      <c r="JZ22" s="528"/>
      <c r="KA22" s="528"/>
      <c r="KB22" s="528"/>
      <c r="KC22" s="528"/>
      <c r="KD22" s="528"/>
      <c r="KE22" s="528"/>
      <c r="KF22" s="528"/>
      <c r="KG22" s="528"/>
      <c r="KH22" s="528"/>
      <c r="KI22" s="528"/>
      <c r="KJ22" s="528"/>
      <c r="KK22" s="528"/>
      <c r="KL22" s="528"/>
      <c r="KM22" s="528"/>
      <c r="KN22" s="528"/>
      <c r="KO22" s="528"/>
      <c r="KP22" s="528"/>
      <c r="KQ22" s="528"/>
      <c r="KR22" s="528"/>
      <c r="KS22" s="528"/>
      <c r="KT22" s="528"/>
      <c r="KU22" s="528"/>
      <c r="KV22" s="528"/>
      <c r="KW22" s="528"/>
      <c r="KX22" s="528"/>
      <c r="KY22" s="528"/>
      <c r="KZ22" s="528"/>
      <c r="LA22" s="528"/>
      <c r="LB22" s="528"/>
      <c r="LC22" s="528"/>
      <c r="LD22" s="528"/>
      <c r="LE22" s="528"/>
      <c r="LF22" s="528"/>
      <c r="LG22" s="528"/>
      <c r="LH22" s="528"/>
      <c r="LI22" s="528"/>
      <c r="LJ22" s="528"/>
      <c r="LK22" s="528"/>
      <c r="LL22" s="528"/>
      <c r="LM22" s="528"/>
      <c r="LN22" s="528"/>
      <c r="LO22" s="528"/>
      <c r="LP22" s="528"/>
      <c r="LQ22" s="528"/>
      <c r="LR22" s="528"/>
      <c r="LS22" s="528"/>
      <c r="LT22" s="528"/>
      <c r="LU22" s="528"/>
      <c r="LV22" s="528"/>
      <c r="LW22" s="528"/>
      <c r="LX22" s="528"/>
      <c r="LY22" s="528"/>
      <c r="LZ22" s="528"/>
      <c r="MA22" s="528"/>
      <c r="MB22" s="528"/>
      <c r="MC22" s="528"/>
      <c r="MD22" s="528"/>
      <c r="ME22" s="528"/>
      <c r="MF22" s="528"/>
      <c r="MG22" s="528"/>
      <c r="MH22" s="528"/>
      <c r="MI22" s="528"/>
      <c r="MJ22" s="528"/>
      <c r="MK22" s="528"/>
      <c r="ML22" s="528"/>
      <c r="MM22" s="528"/>
      <c r="MN22" s="528"/>
      <c r="MO22" s="528"/>
      <c r="MP22" s="528"/>
      <c r="MQ22" s="528"/>
      <c r="MR22" s="528"/>
      <c r="MS22" s="528"/>
      <c r="MT22" s="528"/>
      <c r="MU22" s="528"/>
      <c r="MV22" s="528"/>
      <c r="MW22" s="528"/>
      <c r="MX22" s="528"/>
      <c r="MY22" s="528"/>
      <c r="MZ22" s="528"/>
      <c r="NA22" s="528"/>
      <c r="NB22" s="528"/>
      <c r="NC22" s="528"/>
      <c r="ND22" s="528"/>
      <c r="NE22" s="528"/>
      <c r="NF22" s="528"/>
      <c r="NG22" s="528"/>
      <c r="NH22" s="528"/>
      <c r="NI22" s="528"/>
      <c r="NJ22" s="528"/>
      <c r="NK22" s="528"/>
      <c r="NL22" s="528"/>
      <c r="NM22" s="528"/>
      <c r="NN22" s="528"/>
      <c r="NO22" s="528"/>
      <c r="NP22" s="528"/>
      <c r="NQ22" s="528"/>
      <c r="NR22" s="528"/>
      <c r="NS22" s="528"/>
      <c r="NT22" s="528"/>
      <c r="NU22" s="528"/>
      <c r="NV22" s="528"/>
      <c r="NW22" s="528"/>
      <c r="NX22" s="528"/>
      <c r="NY22" s="528"/>
      <c r="NZ22" s="528"/>
      <c r="OA22" s="528"/>
      <c r="OB22" s="528"/>
      <c r="OC22" s="528"/>
      <c r="OD22" s="528"/>
      <c r="OE22" s="528"/>
      <c r="OF22" s="528"/>
      <c r="OG22" s="528"/>
      <c r="OH22" s="528"/>
      <c r="OI22" s="528"/>
      <c r="OJ22" s="528"/>
      <c r="OK22" s="528"/>
      <c r="OL22" s="528"/>
      <c r="OM22" s="528"/>
      <c r="ON22" s="528"/>
      <c r="OO22" s="528"/>
      <c r="OP22" s="528"/>
      <c r="OQ22" s="528"/>
      <c r="OR22" s="528"/>
      <c r="OS22" s="528"/>
      <c r="OT22" s="528"/>
      <c r="OU22" s="528"/>
      <c r="OV22" s="528"/>
      <c r="OW22" s="528"/>
      <c r="OX22" s="528"/>
      <c r="OY22" s="528"/>
      <c r="OZ22" s="528"/>
      <c r="PA22" s="528"/>
      <c r="PB22" s="528"/>
      <c r="PC22" s="528"/>
      <c r="PD22" s="528"/>
      <c r="PE22" s="528"/>
      <c r="PF22" s="528"/>
      <c r="PG22" s="528"/>
      <c r="PH22" s="528"/>
      <c r="PI22" s="528"/>
      <c r="PJ22" s="528"/>
      <c r="PK22" s="528"/>
      <c r="PL22" s="528"/>
      <c r="PM22" s="528"/>
      <c r="PN22" s="528"/>
      <c r="PO22" s="528"/>
      <c r="PP22" s="528"/>
      <c r="PQ22" s="528"/>
      <c r="PR22" s="528"/>
      <c r="PS22" s="528"/>
      <c r="PT22" s="528"/>
      <c r="PU22" s="528"/>
      <c r="PV22" s="528"/>
      <c r="PW22" s="528"/>
      <c r="PX22" s="528"/>
      <c r="PY22" s="528"/>
      <c r="PZ22" s="528"/>
      <c r="QA22" s="528"/>
      <c r="QB22" s="528"/>
      <c r="QC22" s="528"/>
      <c r="QD22" s="528"/>
      <c r="QE22" s="528"/>
      <c r="QF22" s="528"/>
      <c r="QG22" s="528"/>
      <c r="QH22" s="528"/>
      <c r="QI22" s="528"/>
      <c r="QJ22" s="528"/>
      <c r="QK22" s="528"/>
      <c r="QL22" s="528"/>
      <c r="QM22" s="528"/>
      <c r="QN22" s="528"/>
      <c r="QO22" s="528"/>
      <c r="QP22" s="528"/>
      <c r="QQ22" s="528"/>
      <c r="QR22" s="528"/>
      <c r="QS22" s="528"/>
      <c r="QT22" s="528"/>
      <c r="QU22" s="528"/>
      <c r="QV22" s="528"/>
      <c r="QW22" s="528"/>
      <c r="QX22" s="528"/>
      <c r="QY22" s="528"/>
      <c r="QZ22" s="528"/>
      <c r="RA22" s="528"/>
      <c r="RB22" s="528"/>
      <c r="RC22" s="528"/>
      <c r="RD22" s="528"/>
      <c r="RE22" s="528"/>
      <c r="RF22" s="528"/>
      <c r="RG22" s="528"/>
      <c r="RH22" s="528"/>
      <c r="RI22" s="528"/>
      <c r="RJ22" s="528"/>
      <c r="RK22" s="528"/>
      <c r="RL22" s="528"/>
      <c r="RM22" s="528"/>
      <c r="RN22" s="528"/>
      <c r="RO22" s="528"/>
      <c r="RP22" s="528"/>
      <c r="RQ22" s="528"/>
      <c r="RR22" s="528"/>
      <c r="RS22" s="528"/>
      <c r="RT22" s="528"/>
      <c r="RU22" s="528"/>
      <c r="RV22" s="528"/>
      <c r="RW22" s="528"/>
      <c r="RX22" s="528"/>
    </row>
    <row r="23" spans="1:492" s="529" customFormat="1" ht="20.149999999999999" customHeight="1">
      <c r="A23" s="546" t="s">
        <v>467</v>
      </c>
      <c r="B23" s="571" t="s">
        <v>460</v>
      </c>
      <c r="C23" s="526"/>
      <c r="D23" s="526"/>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526"/>
      <c r="AL23" s="526"/>
      <c r="AM23" s="557"/>
      <c r="AN23" s="527"/>
      <c r="AO23" s="527"/>
      <c r="AP23" s="527"/>
      <c r="AQ23" s="558"/>
      <c r="AR23" s="527"/>
      <c r="AS23" s="527"/>
      <c r="AT23" s="527"/>
      <c r="AU23" s="527"/>
      <c r="AV23" s="522"/>
      <c r="AW23" s="527"/>
      <c r="AX23" s="527"/>
      <c r="AY23" s="527"/>
      <c r="AZ23" s="527"/>
      <c r="BA23" s="533"/>
      <c r="BB23" s="557"/>
      <c r="BC23" s="527"/>
      <c r="BD23" s="527"/>
      <c r="BE23" s="527"/>
      <c r="BF23" s="558"/>
      <c r="BG23" s="527"/>
      <c r="BH23" s="527"/>
      <c r="BI23" s="527"/>
      <c r="BJ23" s="527"/>
      <c r="BK23" s="558"/>
      <c r="BL23" s="527"/>
      <c r="BM23" s="521">
        <v>3.7</v>
      </c>
      <c r="BN23" s="527">
        <f>14-BM23-BL23</f>
        <v>10.3</v>
      </c>
      <c r="BO23" s="527">
        <f>57-BN23-BM23</f>
        <v>43</v>
      </c>
      <c r="BP23" s="558">
        <f>SUM(BL23:BO23)</f>
        <v>57</v>
      </c>
      <c r="BQ23" s="527">
        <v>7</v>
      </c>
      <c r="BR23" s="521">
        <v>6</v>
      </c>
      <c r="BS23" s="527">
        <v>8.6999999999999993</v>
      </c>
      <c r="BT23" s="527">
        <v>5.3</v>
      </c>
      <c r="BU23" s="558">
        <f>SUM(BQ23:BT23)</f>
        <v>27</v>
      </c>
      <c r="BV23" s="527">
        <v>9</v>
      </c>
      <c r="BW23" s="521">
        <v>2.0999999999999996</v>
      </c>
      <c r="BX23" s="527"/>
      <c r="BY23" s="527"/>
      <c r="BZ23" s="558">
        <f>SUM(BV23:BY23)</f>
        <v>11.1</v>
      </c>
      <c r="CA23" s="528"/>
      <c r="CB23" s="944"/>
      <c r="CC23" s="528"/>
      <c r="CD23" s="528"/>
      <c r="CE23" s="528"/>
      <c r="CF23" s="528"/>
      <c r="CG23" s="528"/>
      <c r="CH23" s="528"/>
      <c r="CI23" s="528"/>
      <c r="CJ23" s="528"/>
      <c r="CK23" s="528"/>
      <c r="CL23" s="528"/>
      <c r="CM23" s="528"/>
      <c r="CN23" s="528"/>
      <c r="CO23" s="528"/>
      <c r="CP23" s="528"/>
      <c r="CQ23" s="528"/>
      <c r="CR23" s="528"/>
      <c r="CS23" s="528"/>
      <c r="CT23" s="528"/>
      <c r="CU23" s="528"/>
      <c r="CV23" s="528"/>
      <c r="CW23" s="528"/>
      <c r="CX23" s="528"/>
      <c r="CY23" s="528"/>
      <c r="CZ23" s="528"/>
      <c r="DA23" s="528"/>
      <c r="DB23" s="528"/>
      <c r="DC23" s="528"/>
      <c r="DD23" s="528"/>
      <c r="DE23" s="528"/>
      <c r="DF23" s="528"/>
      <c r="DG23" s="528"/>
      <c r="DH23" s="528"/>
      <c r="DI23" s="528"/>
      <c r="DJ23" s="528"/>
      <c r="DK23" s="528"/>
      <c r="DL23" s="528"/>
      <c r="DM23" s="528"/>
      <c r="DN23" s="528"/>
      <c r="DO23" s="528"/>
      <c r="DP23" s="528"/>
      <c r="DQ23" s="528"/>
      <c r="DR23" s="528"/>
      <c r="DS23" s="528"/>
      <c r="DT23" s="528"/>
      <c r="DU23" s="528"/>
      <c r="DV23" s="528"/>
      <c r="DW23" s="528"/>
      <c r="DX23" s="528"/>
      <c r="DY23" s="528"/>
      <c r="DZ23" s="528"/>
      <c r="EA23" s="528"/>
      <c r="EB23" s="528"/>
      <c r="EC23" s="528"/>
      <c r="ED23" s="528"/>
      <c r="EE23" s="528"/>
      <c r="EF23" s="528"/>
      <c r="EG23" s="528"/>
      <c r="EH23" s="528"/>
      <c r="EI23" s="528"/>
      <c r="EJ23" s="528"/>
      <c r="EK23" s="528"/>
      <c r="EL23" s="528"/>
      <c r="EM23" s="528"/>
      <c r="EN23" s="528"/>
      <c r="EO23" s="528"/>
      <c r="EP23" s="528"/>
      <c r="EQ23" s="528"/>
      <c r="ER23" s="528"/>
      <c r="ES23" s="528"/>
      <c r="ET23" s="528"/>
      <c r="EU23" s="528"/>
      <c r="EV23" s="528"/>
      <c r="EW23" s="528"/>
      <c r="EX23" s="528"/>
      <c r="EY23" s="528"/>
      <c r="EZ23" s="528"/>
      <c r="FA23" s="528"/>
      <c r="FB23" s="528"/>
      <c r="FC23" s="528"/>
      <c r="FD23" s="528"/>
      <c r="FE23" s="528"/>
      <c r="FF23" s="528"/>
      <c r="FG23" s="528"/>
      <c r="FH23" s="528"/>
      <c r="FI23" s="528"/>
      <c r="FJ23" s="528"/>
      <c r="FK23" s="528"/>
      <c r="FL23" s="528"/>
      <c r="FM23" s="528"/>
      <c r="FN23" s="528"/>
      <c r="FO23" s="528"/>
      <c r="FP23" s="528"/>
      <c r="FQ23" s="528"/>
      <c r="FR23" s="528"/>
      <c r="FS23" s="528"/>
      <c r="FT23" s="528"/>
      <c r="FU23" s="528"/>
      <c r="FV23" s="528"/>
      <c r="FW23" s="528"/>
      <c r="FX23" s="528"/>
      <c r="FY23" s="528"/>
      <c r="FZ23" s="528"/>
      <c r="GA23" s="528"/>
      <c r="GB23" s="528"/>
      <c r="GC23" s="528"/>
      <c r="GD23" s="528"/>
      <c r="GE23" s="528"/>
      <c r="GF23" s="528"/>
      <c r="GG23" s="528"/>
      <c r="GH23" s="528"/>
      <c r="GI23" s="528"/>
      <c r="GJ23" s="528"/>
      <c r="GK23" s="528"/>
      <c r="GL23" s="528"/>
      <c r="GM23" s="528"/>
      <c r="GN23" s="528"/>
      <c r="GO23" s="528"/>
      <c r="GP23" s="528"/>
      <c r="GQ23" s="528"/>
      <c r="GR23" s="528"/>
      <c r="GS23" s="528"/>
      <c r="GT23" s="528"/>
      <c r="GU23" s="528"/>
      <c r="GV23" s="528"/>
      <c r="GW23" s="528"/>
      <c r="GX23" s="528"/>
      <c r="GY23" s="528"/>
      <c r="GZ23" s="528"/>
      <c r="HA23" s="528"/>
      <c r="HB23" s="528"/>
      <c r="HC23" s="528"/>
      <c r="HD23" s="528"/>
      <c r="HE23" s="528"/>
      <c r="HF23" s="528"/>
      <c r="HG23" s="528"/>
      <c r="HH23" s="528"/>
      <c r="HI23" s="528"/>
      <c r="HJ23" s="528"/>
      <c r="HK23" s="528"/>
      <c r="HL23" s="528"/>
      <c r="HM23" s="528"/>
      <c r="HN23" s="528"/>
      <c r="HO23" s="528"/>
      <c r="HP23" s="528"/>
      <c r="HQ23" s="528"/>
      <c r="HR23" s="528"/>
      <c r="HS23" s="528"/>
      <c r="HT23" s="528"/>
      <c r="HU23" s="528"/>
      <c r="HV23" s="528"/>
      <c r="HW23" s="528"/>
      <c r="HX23" s="528"/>
      <c r="HY23" s="528"/>
      <c r="HZ23" s="528"/>
      <c r="IA23" s="528"/>
      <c r="IB23" s="528"/>
      <c r="IC23" s="528"/>
      <c r="ID23" s="528"/>
      <c r="IE23" s="528"/>
      <c r="IF23" s="528"/>
      <c r="IG23" s="528"/>
      <c r="IH23" s="528"/>
      <c r="II23" s="528"/>
      <c r="IJ23" s="528"/>
      <c r="IK23" s="528"/>
      <c r="IL23" s="528"/>
      <c r="IM23" s="528"/>
      <c r="IN23" s="528"/>
      <c r="IO23" s="528"/>
      <c r="IP23" s="528"/>
      <c r="IQ23" s="528"/>
      <c r="IR23" s="528"/>
      <c r="IS23" s="528"/>
      <c r="IT23" s="528"/>
      <c r="IU23" s="528"/>
      <c r="IV23" s="528"/>
      <c r="IW23" s="528"/>
      <c r="IX23" s="528"/>
      <c r="IY23" s="528"/>
      <c r="IZ23" s="528"/>
      <c r="JA23" s="528"/>
      <c r="JB23" s="528"/>
      <c r="JC23" s="528"/>
      <c r="JD23" s="528"/>
      <c r="JE23" s="528"/>
      <c r="JF23" s="528"/>
      <c r="JG23" s="528"/>
      <c r="JH23" s="528"/>
      <c r="JI23" s="528"/>
      <c r="JJ23" s="528"/>
      <c r="JK23" s="528"/>
      <c r="JL23" s="528"/>
      <c r="JM23" s="528"/>
      <c r="JN23" s="528"/>
      <c r="JO23" s="528"/>
      <c r="JP23" s="528"/>
      <c r="JQ23" s="528"/>
      <c r="JR23" s="528"/>
      <c r="JS23" s="528"/>
      <c r="JT23" s="528"/>
      <c r="JU23" s="528"/>
      <c r="JV23" s="528"/>
      <c r="JW23" s="528"/>
      <c r="JX23" s="528"/>
      <c r="JY23" s="528"/>
      <c r="JZ23" s="528"/>
      <c r="KA23" s="528"/>
      <c r="KB23" s="528"/>
      <c r="KC23" s="528"/>
      <c r="KD23" s="528"/>
      <c r="KE23" s="528"/>
      <c r="KF23" s="528"/>
      <c r="KG23" s="528"/>
      <c r="KH23" s="528"/>
      <c r="KI23" s="528"/>
      <c r="KJ23" s="528"/>
      <c r="KK23" s="528"/>
      <c r="KL23" s="528"/>
      <c r="KM23" s="528"/>
      <c r="KN23" s="528"/>
      <c r="KO23" s="528"/>
      <c r="KP23" s="528"/>
      <c r="KQ23" s="528"/>
      <c r="KR23" s="528"/>
      <c r="KS23" s="528"/>
      <c r="KT23" s="528"/>
      <c r="KU23" s="528"/>
      <c r="KV23" s="528"/>
      <c r="KW23" s="528"/>
      <c r="KX23" s="528"/>
      <c r="KY23" s="528"/>
      <c r="KZ23" s="528"/>
      <c r="LA23" s="528"/>
      <c r="LB23" s="528"/>
      <c r="LC23" s="528"/>
      <c r="LD23" s="528"/>
      <c r="LE23" s="528"/>
      <c r="LF23" s="528"/>
      <c r="LG23" s="528"/>
      <c r="LH23" s="528"/>
      <c r="LI23" s="528"/>
      <c r="LJ23" s="528"/>
      <c r="LK23" s="528"/>
      <c r="LL23" s="528"/>
      <c r="LM23" s="528"/>
      <c r="LN23" s="528"/>
      <c r="LO23" s="528"/>
      <c r="LP23" s="528"/>
      <c r="LQ23" s="528"/>
      <c r="LR23" s="528"/>
      <c r="LS23" s="528"/>
      <c r="LT23" s="528"/>
      <c r="LU23" s="528"/>
      <c r="LV23" s="528"/>
      <c r="LW23" s="528"/>
      <c r="LX23" s="528"/>
      <c r="LY23" s="528"/>
      <c r="LZ23" s="528"/>
      <c r="MA23" s="528"/>
      <c r="MB23" s="528"/>
      <c r="MC23" s="528"/>
      <c r="MD23" s="528"/>
      <c r="ME23" s="528"/>
      <c r="MF23" s="528"/>
      <c r="MG23" s="528"/>
      <c r="MH23" s="528"/>
      <c r="MI23" s="528"/>
      <c r="MJ23" s="528"/>
      <c r="MK23" s="528"/>
      <c r="ML23" s="528"/>
      <c r="MM23" s="528"/>
      <c r="MN23" s="528"/>
      <c r="MO23" s="528"/>
      <c r="MP23" s="528"/>
      <c r="MQ23" s="528"/>
      <c r="MR23" s="528"/>
      <c r="MS23" s="528"/>
      <c r="MT23" s="528"/>
      <c r="MU23" s="528"/>
      <c r="MV23" s="528"/>
      <c r="MW23" s="528"/>
      <c r="MX23" s="528"/>
      <c r="MY23" s="528"/>
      <c r="MZ23" s="528"/>
      <c r="NA23" s="528"/>
      <c r="NB23" s="528"/>
      <c r="NC23" s="528"/>
      <c r="ND23" s="528"/>
      <c r="NE23" s="528"/>
      <c r="NF23" s="528"/>
      <c r="NG23" s="528"/>
      <c r="NH23" s="528"/>
      <c r="NI23" s="528"/>
      <c r="NJ23" s="528"/>
      <c r="NK23" s="528"/>
      <c r="NL23" s="528"/>
      <c r="NM23" s="528"/>
      <c r="NN23" s="528"/>
      <c r="NO23" s="528"/>
      <c r="NP23" s="528"/>
      <c r="NQ23" s="528"/>
      <c r="NR23" s="528"/>
      <c r="NS23" s="528"/>
      <c r="NT23" s="528"/>
      <c r="NU23" s="528"/>
      <c r="NV23" s="528"/>
      <c r="NW23" s="528"/>
      <c r="NX23" s="528"/>
      <c r="NY23" s="528"/>
      <c r="NZ23" s="528"/>
      <c r="OA23" s="528"/>
      <c r="OB23" s="528"/>
      <c r="OC23" s="528"/>
      <c r="OD23" s="528"/>
      <c r="OE23" s="528"/>
      <c r="OF23" s="528"/>
      <c r="OG23" s="528"/>
      <c r="OH23" s="528"/>
      <c r="OI23" s="528"/>
      <c r="OJ23" s="528"/>
      <c r="OK23" s="528"/>
      <c r="OL23" s="528"/>
      <c r="OM23" s="528"/>
      <c r="ON23" s="528"/>
      <c r="OO23" s="528"/>
      <c r="OP23" s="528"/>
      <c r="OQ23" s="528"/>
      <c r="OR23" s="528"/>
      <c r="OS23" s="528"/>
      <c r="OT23" s="528"/>
      <c r="OU23" s="528"/>
      <c r="OV23" s="528"/>
      <c r="OW23" s="528"/>
      <c r="OX23" s="528"/>
      <c r="OY23" s="528"/>
      <c r="OZ23" s="528"/>
      <c r="PA23" s="528"/>
      <c r="PB23" s="528"/>
      <c r="PC23" s="528"/>
      <c r="PD23" s="528"/>
      <c r="PE23" s="528"/>
      <c r="PF23" s="528"/>
      <c r="PG23" s="528"/>
      <c r="PH23" s="528"/>
      <c r="PI23" s="528"/>
      <c r="PJ23" s="528"/>
      <c r="PK23" s="528"/>
      <c r="PL23" s="528"/>
      <c r="PM23" s="528"/>
      <c r="PN23" s="528"/>
      <c r="PO23" s="528"/>
      <c r="PP23" s="528"/>
      <c r="PQ23" s="528"/>
      <c r="PR23" s="528"/>
      <c r="PS23" s="528"/>
      <c r="PT23" s="528"/>
      <c r="PU23" s="528"/>
      <c r="PV23" s="528"/>
      <c r="PW23" s="528"/>
      <c r="PX23" s="528"/>
      <c r="PY23" s="528"/>
      <c r="PZ23" s="528"/>
      <c r="QA23" s="528"/>
      <c r="QB23" s="528"/>
      <c r="QC23" s="528"/>
      <c r="QD23" s="528"/>
      <c r="QE23" s="528"/>
      <c r="QF23" s="528"/>
      <c r="QG23" s="528"/>
      <c r="QH23" s="528"/>
      <c r="QI23" s="528"/>
      <c r="QJ23" s="528"/>
      <c r="QK23" s="528"/>
      <c r="QL23" s="528"/>
      <c r="QM23" s="528"/>
      <c r="QN23" s="528"/>
      <c r="QO23" s="528"/>
      <c r="QP23" s="528"/>
      <c r="QQ23" s="528"/>
      <c r="QR23" s="528"/>
      <c r="QS23" s="528"/>
      <c r="QT23" s="528"/>
      <c r="QU23" s="528"/>
      <c r="QV23" s="528"/>
      <c r="QW23" s="528"/>
      <c r="QX23" s="528"/>
      <c r="QY23" s="528"/>
      <c r="QZ23" s="528"/>
      <c r="RA23" s="528"/>
      <c r="RB23" s="528"/>
      <c r="RC23" s="528"/>
      <c r="RD23" s="528"/>
      <c r="RE23" s="528"/>
      <c r="RF23" s="528"/>
      <c r="RG23" s="528"/>
      <c r="RH23" s="528"/>
      <c r="RI23" s="528"/>
      <c r="RJ23" s="528"/>
      <c r="RK23" s="528"/>
      <c r="RL23" s="528"/>
      <c r="RM23" s="528"/>
      <c r="RN23" s="528"/>
      <c r="RO23" s="528"/>
      <c r="RP23" s="528"/>
      <c r="RQ23" s="528"/>
      <c r="RR23" s="528"/>
      <c r="RS23" s="528"/>
      <c r="RT23" s="528"/>
      <c r="RU23" s="528"/>
      <c r="RV23" s="528"/>
      <c r="RW23" s="528"/>
      <c r="RX23" s="528"/>
    </row>
    <row r="24" spans="1:492" s="529" customFormat="1" ht="20.149999999999999" customHeight="1">
      <c r="A24" s="546" t="s">
        <v>461</v>
      </c>
      <c r="B24" s="571" t="s">
        <v>462</v>
      </c>
      <c r="C24" s="526"/>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6"/>
      <c r="AJ24" s="526"/>
      <c r="AK24" s="526"/>
      <c r="AL24" s="526"/>
      <c r="AM24" s="557"/>
      <c r="AN24" s="527"/>
      <c r="AO24" s="527"/>
      <c r="AP24" s="527"/>
      <c r="AQ24" s="558"/>
      <c r="AR24" s="527"/>
      <c r="AS24" s="527"/>
      <c r="AT24" s="527"/>
      <c r="AU24" s="527"/>
      <c r="AV24" s="522"/>
      <c r="AW24" s="527"/>
      <c r="AX24" s="527"/>
      <c r="AY24" s="527"/>
      <c r="AZ24" s="527"/>
      <c r="BA24" s="533"/>
      <c r="BB24" s="557"/>
      <c r="BC24" s="527"/>
      <c r="BD24" s="527"/>
      <c r="BE24" s="527"/>
      <c r="BF24" s="558"/>
      <c r="BG24" s="527"/>
      <c r="BH24" s="527"/>
      <c r="BI24" s="527"/>
      <c r="BJ24" s="527"/>
      <c r="BK24" s="558"/>
      <c r="BL24" s="527"/>
      <c r="BM24" s="521"/>
      <c r="BN24" s="527"/>
      <c r="BO24" s="527"/>
      <c r="BP24" s="558"/>
      <c r="BQ24" s="527"/>
      <c r="BR24" s="521"/>
      <c r="BS24" s="527">
        <v>25.9</v>
      </c>
      <c r="BT24" s="758">
        <v>-1.4</v>
      </c>
      <c r="BU24" s="558">
        <f>SUM(BQ24:BT24)</f>
        <v>24.5</v>
      </c>
      <c r="BV24" s="527">
        <v>49.3</v>
      </c>
      <c r="BW24" s="521">
        <v>71.399999999999991</v>
      </c>
      <c r="BX24" s="527"/>
      <c r="BY24" s="758"/>
      <c r="BZ24" s="558">
        <f>SUM(BV24:BY24)</f>
        <v>120.69999999999999</v>
      </c>
      <c r="CA24" s="528"/>
      <c r="CB24" s="944"/>
      <c r="CC24" s="528"/>
      <c r="CD24" s="528"/>
      <c r="CE24" s="528"/>
      <c r="CF24" s="528"/>
      <c r="CG24" s="528"/>
      <c r="CH24" s="528"/>
      <c r="CI24" s="528"/>
      <c r="CJ24" s="528"/>
      <c r="CK24" s="528"/>
      <c r="CL24" s="528"/>
      <c r="CM24" s="528"/>
      <c r="CN24" s="528"/>
      <c r="CO24" s="528"/>
      <c r="CP24" s="528"/>
      <c r="CQ24" s="528"/>
      <c r="CR24" s="528"/>
      <c r="CS24" s="528"/>
      <c r="CT24" s="528"/>
      <c r="CU24" s="528"/>
      <c r="CV24" s="528"/>
      <c r="CW24" s="528"/>
      <c r="CX24" s="528"/>
      <c r="CY24" s="528"/>
      <c r="CZ24" s="528"/>
      <c r="DA24" s="528"/>
      <c r="DB24" s="528"/>
      <c r="DC24" s="528"/>
      <c r="DD24" s="528"/>
      <c r="DE24" s="528"/>
      <c r="DF24" s="528"/>
      <c r="DG24" s="528"/>
      <c r="DH24" s="528"/>
      <c r="DI24" s="528"/>
      <c r="DJ24" s="528"/>
      <c r="DK24" s="528"/>
      <c r="DL24" s="528"/>
      <c r="DM24" s="528"/>
      <c r="DN24" s="528"/>
      <c r="DO24" s="528"/>
      <c r="DP24" s="528"/>
      <c r="DQ24" s="528"/>
      <c r="DR24" s="528"/>
      <c r="DS24" s="528"/>
      <c r="DT24" s="528"/>
      <c r="DU24" s="528"/>
      <c r="DV24" s="528"/>
      <c r="DW24" s="528"/>
      <c r="DX24" s="528"/>
      <c r="DY24" s="528"/>
      <c r="DZ24" s="528"/>
      <c r="EA24" s="528"/>
      <c r="EB24" s="528"/>
      <c r="EC24" s="528"/>
      <c r="ED24" s="528"/>
      <c r="EE24" s="528"/>
      <c r="EF24" s="528"/>
      <c r="EG24" s="528"/>
      <c r="EH24" s="528"/>
      <c r="EI24" s="528"/>
      <c r="EJ24" s="528"/>
      <c r="EK24" s="528"/>
      <c r="EL24" s="528"/>
      <c r="EM24" s="528"/>
      <c r="EN24" s="528"/>
      <c r="EO24" s="528"/>
      <c r="EP24" s="528"/>
      <c r="EQ24" s="528"/>
      <c r="ER24" s="528"/>
      <c r="ES24" s="528"/>
      <c r="ET24" s="528"/>
      <c r="EU24" s="528"/>
      <c r="EV24" s="528"/>
      <c r="EW24" s="528"/>
      <c r="EX24" s="528"/>
      <c r="EY24" s="528"/>
      <c r="EZ24" s="528"/>
      <c r="FA24" s="528"/>
      <c r="FB24" s="528"/>
      <c r="FC24" s="528"/>
      <c r="FD24" s="528"/>
      <c r="FE24" s="528"/>
      <c r="FF24" s="528"/>
      <c r="FG24" s="528"/>
      <c r="FH24" s="528"/>
      <c r="FI24" s="528"/>
      <c r="FJ24" s="528"/>
      <c r="FK24" s="528"/>
      <c r="FL24" s="528"/>
      <c r="FM24" s="528"/>
      <c r="FN24" s="528"/>
      <c r="FO24" s="528"/>
      <c r="FP24" s="528"/>
      <c r="FQ24" s="528"/>
      <c r="FR24" s="528"/>
      <c r="FS24" s="528"/>
      <c r="FT24" s="528"/>
      <c r="FU24" s="528"/>
      <c r="FV24" s="528"/>
      <c r="FW24" s="528"/>
      <c r="FX24" s="528"/>
      <c r="FY24" s="528"/>
      <c r="FZ24" s="528"/>
      <c r="GA24" s="528"/>
      <c r="GB24" s="528"/>
      <c r="GC24" s="528"/>
      <c r="GD24" s="528"/>
      <c r="GE24" s="528"/>
      <c r="GF24" s="528"/>
      <c r="GG24" s="528"/>
      <c r="GH24" s="528"/>
      <c r="GI24" s="528"/>
      <c r="GJ24" s="528"/>
      <c r="GK24" s="528"/>
      <c r="GL24" s="528"/>
      <c r="GM24" s="528"/>
      <c r="GN24" s="528"/>
      <c r="GO24" s="528"/>
      <c r="GP24" s="528"/>
      <c r="GQ24" s="528"/>
      <c r="GR24" s="528"/>
      <c r="GS24" s="528"/>
      <c r="GT24" s="528"/>
      <c r="GU24" s="528"/>
      <c r="GV24" s="528"/>
      <c r="GW24" s="528"/>
      <c r="GX24" s="528"/>
      <c r="GY24" s="528"/>
      <c r="GZ24" s="528"/>
      <c r="HA24" s="528"/>
      <c r="HB24" s="528"/>
      <c r="HC24" s="528"/>
      <c r="HD24" s="528"/>
      <c r="HE24" s="528"/>
      <c r="HF24" s="528"/>
      <c r="HG24" s="528"/>
      <c r="HH24" s="528"/>
      <c r="HI24" s="528"/>
      <c r="HJ24" s="528"/>
      <c r="HK24" s="528"/>
      <c r="HL24" s="528"/>
      <c r="HM24" s="528"/>
      <c r="HN24" s="528"/>
      <c r="HO24" s="528"/>
      <c r="HP24" s="528"/>
      <c r="HQ24" s="528"/>
      <c r="HR24" s="528"/>
      <c r="HS24" s="528"/>
      <c r="HT24" s="528"/>
      <c r="HU24" s="528"/>
      <c r="HV24" s="528"/>
      <c r="HW24" s="528"/>
      <c r="HX24" s="528"/>
      <c r="HY24" s="528"/>
      <c r="HZ24" s="528"/>
      <c r="IA24" s="528"/>
      <c r="IB24" s="528"/>
      <c r="IC24" s="528"/>
      <c r="ID24" s="528"/>
      <c r="IE24" s="528"/>
      <c r="IF24" s="528"/>
      <c r="IG24" s="528"/>
      <c r="IH24" s="528"/>
      <c r="II24" s="528"/>
      <c r="IJ24" s="528"/>
      <c r="IK24" s="528"/>
      <c r="IL24" s="528"/>
      <c r="IM24" s="528"/>
      <c r="IN24" s="528"/>
      <c r="IO24" s="528"/>
      <c r="IP24" s="528"/>
      <c r="IQ24" s="528"/>
      <c r="IR24" s="528"/>
      <c r="IS24" s="528"/>
      <c r="IT24" s="528"/>
      <c r="IU24" s="528"/>
      <c r="IV24" s="528"/>
      <c r="IW24" s="528"/>
      <c r="IX24" s="528"/>
      <c r="IY24" s="528"/>
      <c r="IZ24" s="528"/>
      <c r="JA24" s="528"/>
      <c r="JB24" s="528"/>
      <c r="JC24" s="528"/>
      <c r="JD24" s="528"/>
      <c r="JE24" s="528"/>
      <c r="JF24" s="528"/>
      <c r="JG24" s="528"/>
      <c r="JH24" s="528"/>
      <c r="JI24" s="528"/>
      <c r="JJ24" s="528"/>
      <c r="JK24" s="528"/>
      <c r="JL24" s="528"/>
      <c r="JM24" s="528"/>
      <c r="JN24" s="528"/>
      <c r="JO24" s="528"/>
      <c r="JP24" s="528"/>
      <c r="JQ24" s="528"/>
      <c r="JR24" s="528"/>
      <c r="JS24" s="528"/>
      <c r="JT24" s="528"/>
      <c r="JU24" s="528"/>
      <c r="JV24" s="528"/>
      <c r="JW24" s="528"/>
      <c r="JX24" s="528"/>
      <c r="JY24" s="528"/>
      <c r="JZ24" s="528"/>
      <c r="KA24" s="528"/>
      <c r="KB24" s="528"/>
      <c r="KC24" s="528"/>
      <c r="KD24" s="528"/>
      <c r="KE24" s="528"/>
      <c r="KF24" s="528"/>
      <c r="KG24" s="528"/>
      <c r="KH24" s="528"/>
      <c r="KI24" s="528"/>
      <c r="KJ24" s="528"/>
      <c r="KK24" s="528"/>
      <c r="KL24" s="528"/>
      <c r="KM24" s="528"/>
      <c r="KN24" s="528"/>
      <c r="KO24" s="528"/>
      <c r="KP24" s="528"/>
      <c r="KQ24" s="528"/>
      <c r="KR24" s="528"/>
      <c r="KS24" s="528"/>
      <c r="KT24" s="528"/>
      <c r="KU24" s="528"/>
      <c r="KV24" s="528"/>
      <c r="KW24" s="528"/>
      <c r="KX24" s="528"/>
      <c r="KY24" s="528"/>
      <c r="KZ24" s="528"/>
      <c r="LA24" s="528"/>
      <c r="LB24" s="528"/>
      <c r="LC24" s="528"/>
      <c r="LD24" s="528"/>
      <c r="LE24" s="528"/>
      <c r="LF24" s="528"/>
      <c r="LG24" s="528"/>
      <c r="LH24" s="528"/>
      <c r="LI24" s="528"/>
      <c r="LJ24" s="528"/>
      <c r="LK24" s="528"/>
      <c r="LL24" s="528"/>
      <c r="LM24" s="528"/>
      <c r="LN24" s="528"/>
      <c r="LO24" s="528"/>
      <c r="LP24" s="528"/>
      <c r="LQ24" s="528"/>
      <c r="LR24" s="528"/>
      <c r="LS24" s="528"/>
      <c r="LT24" s="528"/>
      <c r="LU24" s="528"/>
      <c r="LV24" s="528"/>
      <c r="LW24" s="528"/>
      <c r="LX24" s="528"/>
      <c r="LY24" s="528"/>
      <c r="LZ24" s="528"/>
      <c r="MA24" s="528"/>
      <c r="MB24" s="528"/>
      <c r="MC24" s="528"/>
      <c r="MD24" s="528"/>
      <c r="ME24" s="528"/>
      <c r="MF24" s="528"/>
      <c r="MG24" s="528"/>
      <c r="MH24" s="528"/>
      <c r="MI24" s="528"/>
      <c r="MJ24" s="528"/>
      <c r="MK24" s="528"/>
      <c r="ML24" s="528"/>
      <c r="MM24" s="528"/>
      <c r="MN24" s="528"/>
      <c r="MO24" s="528"/>
      <c r="MP24" s="528"/>
      <c r="MQ24" s="528"/>
      <c r="MR24" s="528"/>
      <c r="MS24" s="528"/>
      <c r="MT24" s="528"/>
      <c r="MU24" s="528"/>
      <c r="MV24" s="528"/>
      <c r="MW24" s="528"/>
      <c r="MX24" s="528"/>
      <c r="MY24" s="528"/>
      <c r="MZ24" s="528"/>
      <c r="NA24" s="528"/>
      <c r="NB24" s="528"/>
      <c r="NC24" s="528"/>
      <c r="ND24" s="528"/>
      <c r="NE24" s="528"/>
      <c r="NF24" s="528"/>
      <c r="NG24" s="528"/>
      <c r="NH24" s="528"/>
      <c r="NI24" s="528"/>
      <c r="NJ24" s="528"/>
      <c r="NK24" s="528"/>
      <c r="NL24" s="528"/>
      <c r="NM24" s="528"/>
      <c r="NN24" s="528"/>
      <c r="NO24" s="528"/>
      <c r="NP24" s="528"/>
      <c r="NQ24" s="528"/>
      <c r="NR24" s="528"/>
      <c r="NS24" s="528"/>
      <c r="NT24" s="528"/>
      <c r="NU24" s="528"/>
      <c r="NV24" s="528"/>
      <c r="NW24" s="528"/>
      <c r="NX24" s="528"/>
      <c r="NY24" s="528"/>
      <c r="NZ24" s="528"/>
      <c r="OA24" s="528"/>
      <c r="OB24" s="528"/>
      <c r="OC24" s="528"/>
      <c r="OD24" s="528"/>
      <c r="OE24" s="528"/>
      <c r="OF24" s="528"/>
      <c r="OG24" s="528"/>
      <c r="OH24" s="528"/>
      <c r="OI24" s="528"/>
      <c r="OJ24" s="528"/>
      <c r="OK24" s="528"/>
      <c r="OL24" s="528"/>
      <c r="OM24" s="528"/>
      <c r="ON24" s="528"/>
      <c r="OO24" s="528"/>
      <c r="OP24" s="528"/>
      <c r="OQ24" s="528"/>
      <c r="OR24" s="528"/>
      <c r="OS24" s="528"/>
      <c r="OT24" s="528"/>
      <c r="OU24" s="528"/>
      <c r="OV24" s="528"/>
      <c r="OW24" s="528"/>
      <c r="OX24" s="528"/>
      <c r="OY24" s="528"/>
      <c r="OZ24" s="528"/>
      <c r="PA24" s="528"/>
      <c r="PB24" s="528"/>
      <c r="PC24" s="528"/>
      <c r="PD24" s="528"/>
      <c r="PE24" s="528"/>
      <c r="PF24" s="528"/>
      <c r="PG24" s="528"/>
      <c r="PH24" s="528"/>
      <c r="PI24" s="528"/>
      <c r="PJ24" s="528"/>
      <c r="PK24" s="528"/>
      <c r="PL24" s="528"/>
      <c r="PM24" s="528"/>
      <c r="PN24" s="528"/>
      <c r="PO24" s="528"/>
      <c r="PP24" s="528"/>
      <c r="PQ24" s="528"/>
      <c r="PR24" s="528"/>
      <c r="PS24" s="528"/>
      <c r="PT24" s="528"/>
      <c r="PU24" s="528"/>
      <c r="PV24" s="528"/>
      <c r="PW24" s="528"/>
      <c r="PX24" s="528"/>
      <c r="PY24" s="528"/>
      <c r="PZ24" s="528"/>
      <c r="QA24" s="528"/>
      <c r="QB24" s="528"/>
      <c r="QC24" s="528"/>
      <c r="QD24" s="528"/>
      <c r="QE24" s="528"/>
      <c r="QF24" s="528"/>
      <c r="QG24" s="528"/>
      <c r="QH24" s="528"/>
      <c r="QI24" s="528"/>
      <c r="QJ24" s="528"/>
      <c r="QK24" s="528"/>
      <c r="QL24" s="528"/>
      <c r="QM24" s="528"/>
      <c r="QN24" s="528"/>
      <c r="QO24" s="528"/>
      <c r="QP24" s="528"/>
      <c r="QQ24" s="528"/>
      <c r="QR24" s="528"/>
      <c r="QS24" s="528"/>
      <c r="QT24" s="528"/>
      <c r="QU24" s="528"/>
      <c r="QV24" s="528"/>
      <c r="QW24" s="528"/>
      <c r="QX24" s="528"/>
      <c r="QY24" s="528"/>
      <c r="QZ24" s="528"/>
      <c r="RA24" s="528"/>
      <c r="RB24" s="528"/>
      <c r="RC24" s="528"/>
      <c r="RD24" s="528"/>
      <c r="RE24" s="528"/>
      <c r="RF24" s="528"/>
      <c r="RG24" s="528"/>
      <c r="RH24" s="528"/>
      <c r="RI24" s="528"/>
      <c r="RJ24" s="528"/>
      <c r="RK24" s="528"/>
      <c r="RL24" s="528"/>
      <c r="RM24" s="528"/>
      <c r="RN24" s="528"/>
      <c r="RO24" s="528"/>
      <c r="RP24" s="528"/>
      <c r="RQ24" s="528"/>
      <c r="RR24" s="528"/>
      <c r="RS24" s="528"/>
      <c r="RT24" s="528"/>
      <c r="RU24" s="528"/>
      <c r="RV24" s="528"/>
      <c r="RW24" s="528"/>
      <c r="RX24" s="528"/>
    </row>
    <row r="25" spans="1:492" s="529" customFormat="1" ht="20.149999999999999" customHeight="1" thickBot="1">
      <c r="A25" s="546" t="s">
        <v>463</v>
      </c>
      <c r="B25" s="571" t="s">
        <v>464</v>
      </c>
      <c r="C25" s="526"/>
      <c r="D25" s="526"/>
      <c r="E25" s="526"/>
      <c r="F25" s="526"/>
      <c r="G25" s="526"/>
      <c r="H25" s="526"/>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57"/>
      <c r="AN25" s="527"/>
      <c r="AO25" s="527"/>
      <c r="AP25" s="527"/>
      <c r="AQ25" s="558"/>
      <c r="AR25" s="527"/>
      <c r="AS25" s="527"/>
      <c r="AT25" s="527"/>
      <c r="AU25" s="527"/>
      <c r="AV25" s="522"/>
      <c r="AW25" s="527"/>
      <c r="AX25" s="527"/>
      <c r="AY25" s="527"/>
      <c r="AZ25" s="527"/>
      <c r="BA25" s="533"/>
      <c r="BB25" s="557"/>
      <c r="BC25" s="527"/>
      <c r="BD25" s="527"/>
      <c r="BE25" s="527"/>
      <c r="BF25" s="558"/>
      <c r="BG25" s="527"/>
      <c r="BH25" s="527"/>
      <c r="BI25" s="527"/>
      <c r="BJ25" s="527"/>
      <c r="BK25" s="558"/>
      <c r="BL25" s="527"/>
      <c r="BM25" s="758">
        <v>-2.2000000000000002</v>
      </c>
      <c r="BN25" s="758">
        <f>-7.9-BM25-BL25</f>
        <v>-5.7</v>
      </c>
      <c r="BO25" s="527">
        <f>-5.1-BN25-BM25</f>
        <v>2.8000000000000007</v>
      </c>
      <c r="BP25" s="577">
        <f>SUM(BL25:BO25)</f>
        <v>-5.0999999999999996</v>
      </c>
      <c r="BQ25" s="758">
        <v>-1.5</v>
      </c>
      <c r="BR25" s="758">
        <v>0.8</v>
      </c>
      <c r="BS25" s="758">
        <v>-1.2999999999999998</v>
      </c>
      <c r="BT25" s="758">
        <v>-3.1</v>
      </c>
      <c r="BU25" s="577">
        <f>SUM(BQ25:BT25)</f>
        <v>-5.0999999999999996</v>
      </c>
      <c r="BV25" s="758"/>
      <c r="BW25" s="758"/>
      <c r="BX25" s="758"/>
      <c r="BY25" s="758"/>
      <c r="BZ25" s="577">
        <f>SUM(BV25:BY25)</f>
        <v>0</v>
      </c>
      <c r="CA25" s="528"/>
      <c r="CB25" s="944"/>
      <c r="CC25" s="528"/>
      <c r="CD25" s="528"/>
      <c r="CE25" s="528"/>
      <c r="CF25" s="528"/>
      <c r="CG25" s="528"/>
      <c r="CH25" s="528"/>
      <c r="CI25" s="528"/>
      <c r="CJ25" s="528"/>
      <c r="CK25" s="528"/>
      <c r="CL25" s="528"/>
      <c r="CM25" s="528"/>
      <c r="CN25" s="528"/>
      <c r="CO25" s="528"/>
      <c r="CP25" s="528"/>
      <c r="CQ25" s="528"/>
      <c r="CR25" s="528"/>
      <c r="CS25" s="528"/>
      <c r="CT25" s="528"/>
      <c r="CU25" s="528"/>
      <c r="CV25" s="528"/>
      <c r="CW25" s="528"/>
      <c r="CX25" s="528"/>
      <c r="CY25" s="528"/>
      <c r="CZ25" s="528"/>
      <c r="DA25" s="528"/>
      <c r="DB25" s="528"/>
      <c r="DC25" s="528"/>
      <c r="DD25" s="528"/>
      <c r="DE25" s="528"/>
      <c r="DF25" s="528"/>
      <c r="DG25" s="528"/>
      <c r="DH25" s="528"/>
      <c r="DI25" s="528"/>
      <c r="DJ25" s="528"/>
      <c r="DK25" s="528"/>
      <c r="DL25" s="528"/>
      <c r="DM25" s="528"/>
      <c r="DN25" s="528"/>
      <c r="DO25" s="528"/>
      <c r="DP25" s="528"/>
      <c r="DQ25" s="528"/>
      <c r="DR25" s="528"/>
      <c r="DS25" s="528"/>
      <c r="DT25" s="528"/>
      <c r="DU25" s="528"/>
      <c r="DV25" s="528"/>
      <c r="DW25" s="528"/>
      <c r="DX25" s="528"/>
      <c r="DY25" s="528"/>
      <c r="DZ25" s="528"/>
      <c r="EA25" s="528"/>
      <c r="EB25" s="528"/>
      <c r="EC25" s="528"/>
      <c r="ED25" s="528"/>
      <c r="EE25" s="528"/>
      <c r="EF25" s="528"/>
      <c r="EG25" s="528"/>
      <c r="EH25" s="528"/>
      <c r="EI25" s="528"/>
      <c r="EJ25" s="528"/>
      <c r="EK25" s="528"/>
      <c r="EL25" s="528"/>
      <c r="EM25" s="528"/>
      <c r="EN25" s="528"/>
      <c r="EO25" s="528"/>
      <c r="EP25" s="528"/>
      <c r="EQ25" s="528"/>
      <c r="ER25" s="528"/>
      <c r="ES25" s="528"/>
      <c r="ET25" s="528"/>
      <c r="EU25" s="528"/>
      <c r="EV25" s="528"/>
      <c r="EW25" s="528"/>
      <c r="EX25" s="528"/>
      <c r="EY25" s="528"/>
      <c r="EZ25" s="528"/>
      <c r="FA25" s="528"/>
      <c r="FB25" s="528"/>
      <c r="FC25" s="528"/>
      <c r="FD25" s="528"/>
      <c r="FE25" s="528"/>
      <c r="FF25" s="528"/>
      <c r="FG25" s="528"/>
      <c r="FH25" s="528"/>
      <c r="FI25" s="528"/>
      <c r="FJ25" s="528"/>
      <c r="FK25" s="528"/>
      <c r="FL25" s="528"/>
      <c r="FM25" s="528"/>
      <c r="FN25" s="528"/>
      <c r="FO25" s="528"/>
      <c r="FP25" s="528"/>
      <c r="FQ25" s="528"/>
      <c r="FR25" s="528"/>
      <c r="FS25" s="528"/>
      <c r="FT25" s="528"/>
      <c r="FU25" s="528"/>
      <c r="FV25" s="528"/>
      <c r="FW25" s="528"/>
      <c r="FX25" s="528"/>
      <c r="FY25" s="528"/>
      <c r="FZ25" s="528"/>
      <c r="GA25" s="528"/>
      <c r="GB25" s="528"/>
      <c r="GC25" s="528"/>
      <c r="GD25" s="528"/>
      <c r="GE25" s="528"/>
      <c r="GF25" s="528"/>
      <c r="GG25" s="528"/>
      <c r="GH25" s="528"/>
      <c r="GI25" s="528"/>
      <c r="GJ25" s="528"/>
      <c r="GK25" s="528"/>
      <c r="GL25" s="528"/>
      <c r="GM25" s="528"/>
      <c r="GN25" s="528"/>
      <c r="GO25" s="528"/>
      <c r="GP25" s="528"/>
      <c r="GQ25" s="528"/>
      <c r="GR25" s="528"/>
      <c r="GS25" s="528"/>
      <c r="GT25" s="528"/>
      <c r="GU25" s="528"/>
      <c r="GV25" s="528"/>
      <c r="GW25" s="528"/>
      <c r="GX25" s="528"/>
      <c r="GY25" s="528"/>
      <c r="GZ25" s="528"/>
      <c r="HA25" s="528"/>
      <c r="HB25" s="528"/>
      <c r="HC25" s="528"/>
      <c r="HD25" s="528"/>
      <c r="HE25" s="528"/>
      <c r="HF25" s="528"/>
      <c r="HG25" s="528"/>
      <c r="HH25" s="528"/>
      <c r="HI25" s="528"/>
      <c r="HJ25" s="528"/>
      <c r="HK25" s="528"/>
      <c r="HL25" s="528"/>
      <c r="HM25" s="528"/>
      <c r="HN25" s="528"/>
      <c r="HO25" s="528"/>
      <c r="HP25" s="528"/>
      <c r="HQ25" s="528"/>
      <c r="HR25" s="528"/>
      <c r="HS25" s="528"/>
      <c r="HT25" s="528"/>
      <c r="HU25" s="528"/>
      <c r="HV25" s="528"/>
      <c r="HW25" s="528"/>
      <c r="HX25" s="528"/>
      <c r="HY25" s="528"/>
      <c r="HZ25" s="528"/>
      <c r="IA25" s="528"/>
      <c r="IB25" s="528"/>
      <c r="IC25" s="528"/>
      <c r="ID25" s="528"/>
      <c r="IE25" s="528"/>
      <c r="IF25" s="528"/>
      <c r="IG25" s="528"/>
      <c r="IH25" s="528"/>
      <c r="II25" s="528"/>
      <c r="IJ25" s="528"/>
      <c r="IK25" s="528"/>
      <c r="IL25" s="528"/>
      <c r="IM25" s="528"/>
      <c r="IN25" s="528"/>
      <c r="IO25" s="528"/>
      <c r="IP25" s="528"/>
      <c r="IQ25" s="528"/>
      <c r="IR25" s="528"/>
      <c r="IS25" s="528"/>
      <c r="IT25" s="528"/>
      <c r="IU25" s="528"/>
      <c r="IV25" s="528"/>
      <c r="IW25" s="528"/>
      <c r="IX25" s="528"/>
      <c r="IY25" s="528"/>
      <c r="IZ25" s="528"/>
      <c r="JA25" s="528"/>
      <c r="JB25" s="528"/>
      <c r="JC25" s="528"/>
      <c r="JD25" s="528"/>
      <c r="JE25" s="528"/>
      <c r="JF25" s="528"/>
      <c r="JG25" s="528"/>
      <c r="JH25" s="528"/>
      <c r="JI25" s="528"/>
      <c r="JJ25" s="528"/>
      <c r="JK25" s="528"/>
      <c r="JL25" s="528"/>
      <c r="JM25" s="528"/>
      <c r="JN25" s="528"/>
      <c r="JO25" s="528"/>
      <c r="JP25" s="528"/>
      <c r="JQ25" s="528"/>
      <c r="JR25" s="528"/>
      <c r="JS25" s="528"/>
      <c r="JT25" s="528"/>
      <c r="JU25" s="528"/>
      <c r="JV25" s="528"/>
      <c r="JW25" s="528"/>
      <c r="JX25" s="528"/>
      <c r="JY25" s="528"/>
      <c r="JZ25" s="528"/>
      <c r="KA25" s="528"/>
      <c r="KB25" s="528"/>
      <c r="KC25" s="528"/>
      <c r="KD25" s="528"/>
      <c r="KE25" s="528"/>
      <c r="KF25" s="528"/>
      <c r="KG25" s="528"/>
      <c r="KH25" s="528"/>
      <c r="KI25" s="528"/>
      <c r="KJ25" s="528"/>
      <c r="KK25" s="528"/>
      <c r="KL25" s="528"/>
      <c r="KM25" s="528"/>
      <c r="KN25" s="528"/>
      <c r="KO25" s="528"/>
      <c r="KP25" s="528"/>
      <c r="KQ25" s="528"/>
      <c r="KR25" s="528"/>
      <c r="KS25" s="528"/>
      <c r="KT25" s="528"/>
      <c r="KU25" s="528"/>
      <c r="KV25" s="528"/>
      <c r="KW25" s="528"/>
      <c r="KX25" s="528"/>
      <c r="KY25" s="528"/>
      <c r="KZ25" s="528"/>
      <c r="LA25" s="528"/>
      <c r="LB25" s="528"/>
      <c r="LC25" s="528"/>
      <c r="LD25" s="528"/>
      <c r="LE25" s="528"/>
      <c r="LF25" s="528"/>
      <c r="LG25" s="528"/>
      <c r="LH25" s="528"/>
      <c r="LI25" s="528"/>
      <c r="LJ25" s="528"/>
      <c r="LK25" s="528"/>
      <c r="LL25" s="528"/>
      <c r="LM25" s="528"/>
      <c r="LN25" s="528"/>
      <c r="LO25" s="528"/>
      <c r="LP25" s="528"/>
      <c r="LQ25" s="528"/>
      <c r="LR25" s="528"/>
      <c r="LS25" s="528"/>
      <c r="LT25" s="528"/>
      <c r="LU25" s="528"/>
      <c r="LV25" s="528"/>
      <c r="LW25" s="528"/>
      <c r="LX25" s="528"/>
      <c r="LY25" s="528"/>
      <c r="LZ25" s="528"/>
      <c r="MA25" s="528"/>
      <c r="MB25" s="528"/>
      <c r="MC25" s="528"/>
      <c r="MD25" s="528"/>
      <c r="ME25" s="528"/>
      <c r="MF25" s="528"/>
      <c r="MG25" s="528"/>
      <c r="MH25" s="528"/>
      <c r="MI25" s="528"/>
      <c r="MJ25" s="528"/>
      <c r="MK25" s="528"/>
      <c r="ML25" s="528"/>
      <c r="MM25" s="528"/>
      <c r="MN25" s="528"/>
      <c r="MO25" s="528"/>
      <c r="MP25" s="528"/>
      <c r="MQ25" s="528"/>
      <c r="MR25" s="528"/>
      <c r="MS25" s="528"/>
      <c r="MT25" s="528"/>
      <c r="MU25" s="528"/>
      <c r="MV25" s="528"/>
      <c r="MW25" s="528"/>
      <c r="MX25" s="528"/>
      <c r="MY25" s="528"/>
      <c r="MZ25" s="528"/>
      <c r="NA25" s="528"/>
      <c r="NB25" s="528"/>
      <c r="NC25" s="528"/>
      <c r="ND25" s="528"/>
      <c r="NE25" s="528"/>
      <c r="NF25" s="528"/>
      <c r="NG25" s="528"/>
      <c r="NH25" s="528"/>
      <c r="NI25" s="528"/>
      <c r="NJ25" s="528"/>
      <c r="NK25" s="528"/>
      <c r="NL25" s="528"/>
      <c r="NM25" s="528"/>
      <c r="NN25" s="528"/>
      <c r="NO25" s="528"/>
      <c r="NP25" s="528"/>
      <c r="NQ25" s="528"/>
      <c r="NR25" s="528"/>
      <c r="NS25" s="528"/>
      <c r="NT25" s="528"/>
      <c r="NU25" s="528"/>
      <c r="NV25" s="528"/>
      <c r="NW25" s="528"/>
      <c r="NX25" s="528"/>
      <c r="NY25" s="528"/>
      <c r="NZ25" s="528"/>
      <c r="OA25" s="528"/>
      <c r="OB25" s="528"/>
      <c r="OC25" s="528"/>
      <c r="OD25" s="528"/>
      <c r="OE25" s="528"/>
      <c r="OF25" s="528"/>
      <c r="OG25" s="528"/>
      <c r="OH25" s="528"/>
      <c r="OI25" s="528"/>
      <c r="OJ25" s="528"/>
      <c r="OK25" s="528"/>
      <c r="OL25" s="528"/>
      <c r="OM25" s="528"/>
      <c r="ON25" s="528"/>
      <c r="OO25" s="528"/>
      <c r="OP25" s="528"/>
      <c r="OQ25" s="528"/>
      <c r="OR25" s="528"/>
      <c r="OS25" s="528"/>
      <c r="OT25" s="528"/>
      <c r="OU25" s="528"/>
      <c r="OV25" s="528"/>
      <c r="OW25" s="528"/>
      <c r="OX25" s="528"/>
      <c r="OY25" s="528"/>
      <c r="OZ25" s="528"/>
      <c r="PA25" s="528"/>
      <c r="PB25" s="528"/>
      <c r="PC25" s="528"/>
      <c r="PD25" s="528"/>
      <c r="PE25" s="528"/>
      <c r="PF25" s="528"/>
      <c r="PG25" s="528"/>
      <c r="PH25" s="528"/>
      <c r="PI25" s="528"/>
      <c r="PJ25" s="528"/>
      <c r="PK25" s="528"/>
      <c r="PL25" s="528"/>
      <c r="PM25" s="528"/>
      <c r="PN25" s="528"/>
      <c r="PO25" s="528"/>
      <c r="PP25" s="528"/>
      <c r="PQ25" s="528"/>
      <c r="PR25" s="528"/>
      <c r="PS25" s="528"/>
      <c r="PT25" s="528"/>
      <c r="PU25" s="528"/>
      <c r="PV25" s="528"/>
      <c r="PW25" s="528"/>
      <c r="PX25" s="528"/>
      <c r="PY25" s="528"/>
      <c r="PZ25" s="528"/>
      <c r="QA25" s="528"/>
      <c r="QB25" s="528"/>
      <c r="QC25" s="528"/>
      <c r="QD25" s="528"/>
      <c r="QE25" s="528"/>
      <c r="QF25" s="528"/>
      <c r="QG25" s="528"/>
      <c r="QH25" s="528"/>
      <c r="QI25" s="528"/>
      <c r="QJ25" s="528"/>
      <c r="QK25" s="528"/>
      <c r="QL25" s="528"/>
      <c r="QM25" s="528"/>
      <c r="QN25" s="528"/>
      <c r="QO25" s="528"/>
      <c r="QP25" s="528"/>
      <c r="QQ25" s="528"/>
      <c r="QR25" s="528"/>
      <c r="QS25" s="528"/>
      <c r="QT25" s="528"/>
      <c r="QU25" s="528"/>
      <c r="QV25" s="528"/>
      <c r="QW25" s="528"/>
      <c r="QX25" s="528"/>
      <c r="QY25" s="528"/>
      <c r="QZ25" s="528"/>
      <c r="RA25" s="528"/>
      <c r="RB25" s="528"/>
      <c r="RC25" s="528"/>
      <c r="RD25" s="528"/>
      <c r="RE25" s="528"/>
      <c r="RF25" s="528"/>
      <c r="RG25" s="528"/>
      <c r="RH25" s="528"/>
      <c r="RI25" s="528"/>
      <c r="RJ25" s="528"/>
      <c r="RK25" s="528"/>
      <c r="RL25" s="528"/>
      <c r="RM25" s="528"/>
      <c r="RN25" s="528"/>
      <c r="RO25" s="528"/>
      <c r="RP25" s="528"/>
      <c r="RQ25" s="528"/>
      <c r="RR25" s="528"/>
      <c r="RS25" s="528"/>
      <c r="RT25" s="528"/>
      <c r="RU25" s="528"/>
      <c r="RV25" s="528"/>
      <c r="RW25" s="528"/>
      <c r="RX25" s="528"/>
    </row>
    <row r="26" spans="1:492" s="65" customFormat="1" ht="20.25" customHeight="1" thickBot="1">
      <c r="A26" s="547" t="s">
        <v>475</v>
      </c>
      <c r="B26" s="572" t="s">
        <v>476</v>
      </c>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c r="AD26" s="425"/>
      <c r="AE26" s="425"/>
      <c r="AF26" s="425"/>
      <c r="AG26" s="425"/>
      <c r="AH26" s="425"/>
      <c r="AI26" s="425"/>
      <c r="AJ26" s="425"/>
      <c r="AK26" s="425"/>
      <c r="AL26" s="425"/>
      <c r="AM26" s="560">
        <f>SUM(AM27:AM28)</f>
        <v>435.5</v>
      </c>
      <c r="AN26" s="426">
        <f t="shared" ref="AN26:BF26" si="33">SUM(AN27:AN28)</f>
        <v>475.59999999999997</v>
      </c>
      <c r="AO26" s="426">
        <f t="shared" si="33"/>
        <v>396.5</v>
      </c>
      <c r="AP26" s="426">
        <f t="shared" si="33"/>
        <v>419.40000000000015</v>
      </c>
      <c r="AQ26" s="561">
        <f t="shared" si="33"/>
        <v>1727</v>
      </c>
      <c r="AR26" s="426">
        <f t="shared" si="33"/>
        <v>0</v>
      </c>
      <c r="AS26" s="426">
        <f t="shared" si="33"/>
        <v>0</v>
      </c>
      <c r="AT26" s="426">
        <f t="shared" si="33"/>
        <v>0</v>
      </c>
      <c r="AU26" s="426">
        <f t="shared" si="33"/>
        <v>0</v>
      </c>
      <c r="AV26" s="427">
        <f t="shared" si="33"/>
        <v>0</v>
      </c>
      <c r="AW26" s="426">
        <f t="shared" si="33"/>
        <v>491.2</v>
      </c>
      <c r="AX26" s="426">
        <f t="shared" si="33"/>
        <v>522.5</v>
      </c>
      <c r="AY26" s="426">
        <f t="shared" si="33"/>
        <v>459.00000000000006</v>
      </c>
      <c r="AZ26" s="426">
        <f t="shared" si="33"/>
        <v>494.30000000000013</v>
      </c>
      <c r="BA26" s="552">
        <f t="shared" si="33"/>
        <v>1967</v>
      </c>
      <c r="BB26" s="560">
        <f t="shared" si="33"/>
        <v>462.2</v>
      </c>
      <c r="BC26" s="426">
        <f t="shared" si="33"/>
        <v>394.1</v>
      </c>
      <c r="BD26" s="426">
        <f t="shared" si="33"/>
        <v>505.9</v>
      </c>
      <c r="BE26" s="426">
        <f t="shared" si="33"/>
        <v>524</v>
      </c>
      <c r="BF26" s="561">
        <f t="shared" si="33"/>
        <v>1886.2</v>
      </c>
      <c r="BG26" s="426">
        <f t="shared" ref="BG26:BK26" si="34">SUM(BG27:BG28)</f>
        <v>561.5</v>
      </c>
      <c r="BH26" s="426">
        <f t="shared" si="34"/>
        <v>683.7</v>
      </c>
      <c r="BI26" s="426">
        <f t="shared" si="34"/>
        <v>4131.4000000000005</v>
      </c>
      <c r="BJ26" s="426">
        <f t="shared" si="34"/>
        <v>419.80000000000018</v>
      </c>
      <c r="BK26" s="561">
        <f t="shared" si="34"/>
        <v>5796.4000000000005</v>
      </c>
      <c r="BL26" s="426">
        <f>SUM(BL27:BL29)</f>
        <v>320.3</v>
      </c>
      <c r="BM26" s="759">
        <f>SUM(BM27:BM31)</f>
        <v>425.8</v>
      </c>
      <c r="BN26" s="426">
        <f>SUM(BN27:BN31)</f>
        <v>500.90000000000003</v>
      </c>
      <c r="BO26" s="426">
        <f>SUM(BO27:BO31)</f>
        <v>395.19999999999993</v>
      </c>
      <c r="BP26" s="561">
        <f>SUM(BP27:BP31)</f>
        <v>1642.2</v>
      </c>
      <c r="BQ26" s="426">
        <f>SUM(BQ27:BQ31)</f>
        <v>298.7</v>
      </c>
      <c r="BR26" s="426">
        <f t="shared" ref="BR26:BT26" si="35">SUM(BR27:BR31)</f>
        <v>329.79999999999995</v>
      </c>
      <c r="BS26" s="426">
        <f t="shared" si="35"/>
        <v>510.90000000000003</v>
      </c>
      <c r="BT26" s="426">
        <f t="shared" si="35"/>
        <v>172.2</v>
      </c>
      <c r="BU26" s="561">
        <f>SUM(BU27:BU31)</f>
        <v>1311.6000000000001</v>
      </c>
      <c r="BV26" s="426">
        <f>SUM(BV27:BV31)</f>
        <v>452.7</v>
      </c>
      <c r="BW26" s="426">
        <f t="shared" ref="BW26:BY26" si="36">SUM(BW27:BW31)</f>
        <v>396.00000000000011</v>
      </c>
      <c r="BX26" s="426">
        <f t="shared" si="36"/>
        <v>0</v>
      </c>
      <c r="BY26" s="426">
        <f t="shared" si="36"/>
        <v>0</v>
      </c>
      <c r="BZ26" s="561">
        <f>SUM(BZ27:BZ31)</f>
        <v>848.7</v>
      </c>
      <c r="CA26" s="11"/>
      <c r="CB26" s="944"/>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row>
    <row r="27" spans="1:492" s="529" customFormat="1" ht="20.149999999999999" customHeight="1">
      <c r="A27" s="546" t="s">
        <v>455</v>
      </c>
      <c r="B27" s="571" t="s">
        <v>456</v>
      </c>
      <c r="C27" s="526"/>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26"/>
      <c r="AB27" s="526"/>
      <c r="AC27" s="526"/>
      <c r="AD27" s="526"/>
      <c r="AE27" s="526"/>
      <c r="AF27" s="526"/>
      <c r="AG27" s="526"/>
      <c r="AH27" s="526"/>
      <c r="AI27" s="526"/>
      <c r="AJ27" s="526"/>
      <c r="AK27" s="526"/>
      <c r="AL27" s="526"/>
      <c r="AM27" s="557">
        <v>310.7</v>
      </c>
      <c r="AN27" s="527">
        <v>334.7</v>
      </c>
      <c r="AO27" s="527">
        <v>312.39999999999998</v>
      </c>
      <c r="AP27" s="527">
        <v>257.10000000000014</v>
      </c>
      <c r="AQ27" s="558">
        <f t="shared" ref="AQ27:AQ34" si="37">SUM(AM27:AP27)</f>
        <v>1214.9000000000001</v>
      </c>
      <c r="AR27" s="527"/>
      <c r="AS27" s="527"/>
      <c r="AT27" s="527"/>
      <c r="AU27" s="527"/>
      <c r="AV27" s="522"/>
      <c r="AW27" s="527">
        <v>360.4</v>
      </c>
      <c r="AX27" s="527">
        <v>376.4</v>
      </c>
      <c r="AY27" s="527">
        <v>377.20000000000005</v>
      </c>
      <c r="AZ27" s="527">
        <v>314.40000000000009</v>
      </c>
      <c r="BA27" s="533">
        <f>SUM(AW27:AZ27)</f>
        <v>1428.4</v>
      </c>
      <c r="BB27" s="557">
        <v>330.2</v>
      </c>
      <c r="BC27" s="527">
        <v>290.7</v>
      </c>
      <c r="BD27" s="527">
        <v>388.1</v>
      </c>
      <c r="BE27" s="527">
        <v>342.5</v>
      </c>
      <c r="BF27" s="558">
        <f>SUM(BB27:BE27)</f>
        <v>1351.5</v>
      </c>
      <c r="BG27" s="527">
        <v>435.8</v>
      </c>
      <c r="BH27" s="527">
        <v>535.90000000000009</v>
      </c>
      <c r="BI27" s="527">
        <v>4040.3</v>
      </c>
      <c r="BJ27" s="527">
        <f>5282.8-SUM(BG27:BI27)</f>
        <v>270.80000000000018</v>
      </c>
      <c r="BK27" s="558">
        <f>SUM(BG27:BJ27)</f>
        <v>5282.8</v>
      </c>
      <c r="BL27" s="527">
        <v>252.4</v>
      </c>
      <c r="BM27" s="521">
        <f>565.5-BL27</f>
        <v>313.10000000000002</v>
      </c>
      <c r="BN27" s="527">
        <f>1018-BM27-BL27</f>
        <v>452.5</v>
      </c>
      <c r="BO27" s="527">
        <f>1210.8-BN27-BM27-BL27</f>
        <v>192.79999999999993</v>
      </c>
      <c r="BP27" s="558">
        <f>SUM(BL27:BO27)</f>
        <v>1210.8</v>
      </c>
      <c r="BQ27" s="527">
        <v>244.6</v>
      </c>
      <c r="BR27" s="521">
        <v>209.79999999999998</v>
      </c>
      <c r="BS27" s="527">
        <v>449.5</v>
      </c>
      <c r="BT27" s="527">
        <v>95.7</v>
      </c>
      <c r="BU27" s="558">
        <f>SUM(BQ27:BT27)</f>
        <v>999.6</v>
      </c>
      <c r="BV27" s="527">
        <v>347.4</v>
      </c>
      <c r="BW27" s="527">
        <v>240.60000000000002</v>
      </c>
      <c r="BX27" s="527"/>
      <c r="BY27" s="527"/>
      <c r="BZ27" s="558">
        <f>SUM(BV27:BY27)</f>
        <v>588</v>
      </c>
      <c r="CA27" s="528"/>
      <c r="CB27" s="944"/>
      <c r="CC27" s="944"/>
      <c r="CD27" s="528"/>
      <c r="CE27" s="528"/>
      <c r="CF27" s="528"/>
      <c r="CG27" s="528"/>
      <c r="CH27" s="528"/>
      <c r="CI27" s="528"/>
      <c r="CJ27" s="528"/>
      <c r="CK27" s="528"/>
      <c r="CL27" s="528"/>
      <c r="CM27" s="528"/>
      <c r="CN27" s="528"/>
      <c r="CO27" s="528"/>
      <c r="CP27" s="528"/>
      <c r="CQ27" s="528"/>
      <c r="CR27" s="528"/>
      <c r="CS27" s="528"/>
      <c r="CT27" s="528"/>
      <c r="CU27" s="528"/>
      <c r="CV27" s="528"/>
      <c r="CW27" s="528"/>
      <c r="CX27" s="528"/>
      <c r="CY27" s="528"/>
      <c r="CZ27" s="528"/>
      <c r="DA27" s="528"/>
      <c r="DB27" s="528"/>
      <c r="DC27" s="528"/>
      <c r="DD27" s="528"/>
      <c r="DE27" s="528"/>
      <c r="DF27" s="528"/>
      <c r="DG27" s="528"/>
      <c r="DH27" s="528"/>
      <c r="DI27" s="528"/>
      <c r="DJ27" s="528"/>
      <c r="DK27" s="528"/>
      <c r="DL27" s="528"/>
      <c r="DM27" s="528"/>
      <c r="DN27" s="528"/>
      <c r="DO27" s="528"/>
      <c r="DP27" s="528"/>
      <c r="DQ27" s="528"/>
      <c r="DR27" s="528"/>
      <c r="DS27" s="528"/>
      <c r="DT27" s="528"/>
      <c r="DU27" s="528"/>
      <c r="DV27" s="528"/>
      <c r="DW27" s="528"/>
      <c r="DX27" s="528"/>
      <c r="DY27" s="528"/>
      <c r="DZ27" s="528"/>
      <c r="EA27" s="528"/>
      <c r="EB27" s="528"/>
      <c r="EC27" s="528"/>
      <c r="ED27" s="528"/>
      <c r="EE27" s="528"/>
      <c r="EF27" s="528"/>
      <c r="EG27" s="528"/>
      <c r="EH27" s="528"/>
      <c r="EI27" s="528"/>
      <c r="EJ27" s="528"/>
      <c r="EK27" s="528"/>
      <c r="EL27" s="528"/>
      <c r="EM27" s="528"/>
      <c r="EN27" s="528"/>
      <c r="EO27" s="528"/>
      <c r="EP27" s="528"/>
      <c r="EQ27" s="528"/>
      <c r="ER27" s="528"/>
      <c r="ES27" s="528"/>
      <c r="ET27" s="528"/>
      <c r="EU27" s="528"/>
      <c r="EV27" s="528"/>
      <c r="EW27" s="528"/>
      <c r="EX27" s="528"/>
      <c r="EY27" s="528"/>
      <c r="EZ27" s="528"/>
      <c r="FA27" s="528"/>
      <c r="FB27" s="528"/>
      <c r="FC27" s="528"/>
      <c r="FD27" s="528"/>
      <c r="FE27" s="528"/>
      <c r="FF27" s="528"/>
      <c r="FG27" s="528"/>
      <c r="FH27" s="528"/>
      <c r="FI27" s="528"/>
      <c r="FJ27" s="528"/>
      <c r="FK27" s="528"/>
      <c r="FL27" s="528"/>
      <c r="FM27" s="528"/>
      <c r="FN27" s="528"/>
      <c r="FO27" s="528"/>
      <c r="FP27" s="528"/>
      <c r="FQ27" s="528"/>
      <c r="FR27" s="528"/>
      <c r="FS27" s="528"/>
      <c r="FT27" s="528"/>
      <c r="FU27" s="528"/>
      <c r="FV27" s="528"/>
      <c r="FW27" s="528"/>
      <c r="FX27" s="528"/>
      <c r="FY27" s="528"/>
      <c r="FZ27" s="528"/>
      <c r="GA27" s="528"/>
      <c r="GB27" s="528"/>
      <c r="GC27" s="528"/>
      <c r="GD27" s="528"/>
      <c r="GE27" s="528"/>
      <c r="GF27" s="528"/>
      <c r="GG27" s="528"/>
      <c r="GH27" s="528"/>
      <c r="GI27" s="528"/>
      <c r="GJ27" s="528"/>
      <c r="GK27" s="528"/>
      <c r="GL27" s="528"/>
      <c r="GM27" s="528"/>
      <c r="GN27" s="528"/>
      <c r="GO27" s="528"/>
      <c r="GP27" s="528"/>
      <c r="GQ27" s="528"/>
      <c r="GR27" s="528"/>
      <c r="GS27" s="528"/>
      <c r="GT27" s="528"/>
      <c r="GU27" s="528"/>
      <c r="GV27" s="528"/>
      <c r="GW27" s="528"/>
      <c r="GX27" s="528"/>
      <c r="GY27" s="528"/>
      <c r="GZ27" s="528"/>
      <c r="HA27" s="528"/>
      <c r="HB27" s="528"/>
      <c r="HC27" s="528"/>
      <c r="HD27" s="528"/>
      <c r="HE27" s="528"/>
      <c r="HF27" s="528"/>
      <c r="HG27" s="528"/>
      <c r="HH27" s="528"/>
      <c r="HI27" s="528"/>
      <c r="HJ27" s="528"/>
      <c r="HK27" s="528"/>
      <c r="HL27" s="528"/>
      <c r="HM27" s="528"/>
      <c r="HN27" s="528"/>
      <c r="HO27" s="528"/>
      <c r="HP27" s="528"/>
      <c r="HQ27" s="528"/>
      <c r="HR27" s="528"/>
      <c r="HS27" s="528"/>
      <c r="HT27" s="528"/>
      <c r="HU27" s="528"/>
      <c r="HV27" s="528"/>
      <c r="HW27" s="528"/>
      <c r="HX27" s="528"/>
      <c r="HY27" s="528"/>
      <c r="HZ27" s="528"/>
      <c r="IA27" s="528"/>
      <c r="IB27" s="528"/>
      <c r="IC27" s="528"/>
      <c r="ID27" s="528"/>
      <c r="IE27" s="528"/>
      <c r="IF27" s="528"/>
      <c r="IG27" s="528"/>
      <c r="IH27" s="528"/>
      <c r="II27" s="528"/>
      <c r="IJ27" s="528"/>
      <c r="IK27" s="528"/>
      <c r="IL27" s="528"/>
      <c r="IM27" s="528"/>
      <c r="IN27" s="528"/>
      <c r="IO27" s="528"/>
      <c r="IP27" s="528"/>
      <c r="IQ27" s="528"/>
      <c r="IR27" s="528"/>
      <c r="IS27" s="528"/>
      <c r="IT27" s="528"/>
      <c r="IU27" s="528"/>
      <c r="IV27" s="528"/>
      <c r="IW27" s="528"/>
      <c r="IX27" s="528"/>
      <c r="IY27" s="528"/>
      <c r="IZ27" s="528"/>
      <c r="JA27" s="528"/>
      <c r="JB27" s="528"/>
      <c r="JC27" s="528"/>
      <c r="JD27" s="528"/>
      <c r="JE27" s="528"/>
      <c r="JF27" s="528"/>
      <c r="JG27" s="528"/>
      <c r="JH27" s="528"/>
      <c r="JI27" s="528"/>
      <c r="JJ27" s="528"/>
      <c r="JK27" s="528"/>
      <c r="JL27" s="528"/>
      <c r="JM27" s="528"/>
      <c r="JN27" s="528"/>
      <c r="JO27" s="528"/>
      <c r="JP27" s="528"/>
      <c r="JQ27" s="528"/>
      <c r="JR27" s="528"/>
      <c r="JS27" s="528"/>
      <c r="JT27" s="528"/>
      <c r="JU27" s="528"/>
      <c r="JV27" s="528"/>
      <c r="JW27" s="528"/>
      <c r="JX27" s="528"/>
      <c r="JY27" s="528"/>
      <c r="JZ27" s="528"/>
      <c r="KA27" s="528"/>
      <c r="KB27" s="528"/>
      <c r="KC27" s="528"/>
      <c r="KD27" s="528"/>
      <c r="KE27" s="528"/>
      <c r="KF27" s="528"/>
      <c r="KG27" s="528"/>
      <c r="KH27" s="528"/>
      <c r="KI27" s="528"/>
      <c r="KJ27" s="528"/>
      <c r="KK27" s="528"/>
      <c r="KL27" s="528"/>
      <c r="KM27" s="528"/>
      <c r="KN27" s="528"/>
      <c r="KO27" s="528"/>
      <c r="KP27" s="528"/>
      <c r="KQ27" s="528"/>
      <c r="KR27" s="528"/>
      <c r="KS27" s="528"/>
      <c r="KT27" s="528"/>
      <c r="KU27" s="528"/>
      <c r="KV27" s="528"/>
      <c r="KW27" s="528"/>
      <c r="KX27" s="528"/>
      <c r="KY27" s="528"/>
      <c r="KZ27" s="528"/>
      <c r="LA27" s="528"/>
      <c r="LB27" s="528"/>
      <c r="LC27" s="528"/>
      <c r="LD27" s="528"/>
      <c r="LE27" s="528"/>
      <c r="LF27" s="528"/>
      <c r="LG27" s="528"/>
      <c r="LH27" s="528"/>
      <c r="LI27" s="528"/>
      <c r="LJ27" s="528"/>
      <c r="LK27" s="528"/>
      <c r="LL27" s="528"/>
      <c r="LM27" s="528"/>
      <c r="LN27" s="528"/>
      <c r="LO27" s="528"/>
      <c r="LP27" s="528"/>
      <c r="LQ27" s="528"/>
      <c r="LR27" s="528"/>
      <c r="LS27" s="528"/>
      <c r="LT27" s="528"/>
      <c r="LU27" s="528"/>
      <c r="LV27" s="528"/>
      <c r="LW27" s="528"/>
      <c r="LX27" s="528"/>
      <c r="LY27" s="528"/>
      <c r="LZ27" s="528"/>
      <c r="MA27" s="528"/>
      <c r="MB27" s="528"/>
      <c r="MC27" s="528"/>
      <c r="MD27" s="528"/>
      <c r="ME27" s="528"/>
      <c r="MF27" s="528"/>
      <c r="MG27" s="528"/>
      <c r="MH27" s="528"/>
      <c r="MI27" s="528"/>
      <c r="MJ27" s="528"/>
      <c r="MK27" s="528"/>
      <c r="ML27" s="528"/>
      <c r="MM27" s="528"/>
      <c r="MN27" s="528"/>
      <c r="MO27" s="528"/>
      <c r="MP27" s="528"/>
      <c r="MQ27" s="528"/>
      <c r="MR27" s="528"/>
      <c r="MS27" s="528"/>
      <c r="MT27" s="528"/>
      <c r="MU27" s="528"/>
      <c r="MV27" s="528"/>
      <c r="MW27" s="528"/>
      <c r="MX27" s="528"/>
      <c r="MY27" s="528"/>
      <c r="MZ27" s="528"/>
      <c r="NA27" s="528"/>
      <c r="NB27" s="528"/>
      <c r="NC27" s="528"/>
      <c r="ND27" s="528"/>
      <c r="NE27" s="528"/>
      <c r="NF27" s="528"/>
      <c r="NG27" s="528"/>
      <c r="NH27" s="528"/>
      <c r="NI27" s="528"/>
      <c r="NJ27" s="528"/>
      <c r="NK27" s="528"/>
      <c r="NL27" s="528"/>
      <c r="NM27" s="528"/>
      <c r="NN27" s="528"/>
      <c r="NO27" s="528"/>
      <c r="NP27" s="528"/>
      <c r="NQ27" s="528"/>
      <c r="NR27" s="528"/>
      <c r="NS27" s="528"/>
      <c r="NT27" s="528"/>
      <c r="NU27" s="528"/>
      <c r="NV27" s="528"/>
      <c r="NW27" s="528"/>
      <c r="NX27" s="528"/>
      <c r="NY27" s="528"/>
      <c r="NZ27" s="528"/>
      <c r="OA27" s="528"/>
      <c r="OB27" s="528"/>
      <c r="OC27" s="528"/>
      <c r="OD27" s="528"/>
      <c r="OE27" s="528"/>
      <c r="OF27" s="528"/>
      <c r="OG27" s="528"/>
      <c r="OH27" s="528"/>
      <c r="OI27" s="528"/>
      <c r="OJ27" s="528"/>
      <c r="OK27" s="528"/>
      <c r="OL27" s="528"/>
      <c r="OM27" s="528"/>
      <c r="ON27" s="528"/>
      <c r="OO27" s="528"/>
      <c r="OP27" s="528"/>
      <c r="OQ27" s="528"/>
      <c r="OR27" s="528"/>
      <c r="OS27" s="528"/>
      <c r="OT27" s="528"/>
      <c r="OU27" s="528"/>
      <c r="OV27" s="528"/>
      <c r="OW27" s="528"/>
      <c r="OX27" s="528"/>
      <c r="OY27" s="528"/>
      <c r="OZ27" s="528"/>
      <c r="PA27" s="528"/>
      <c r="PB27" s="528"/>
      <c r="PC27" s="528"/>
      <c r="PD27" s="528"/>
      <c r="PE27" s="528"/>
      <c r="PF27" s="528"/>
      <c r="PG27" s="528"/>
      <c r="PH27" s="528"/>
      <c r="PI27" s="528"/>
      <c r="PJ27" s="528"/>
      <c r="PK27" s="528"/>
      <c r="PL27" s="528"/>
      <c r="PM27" s="528"/>
      <c r="PN27" s="528"/>
      <c r="PO27" s="528"/>
      <c r="PP27" s="528"/>
      <c r="PQ27" s="528"/>
      <c r="PR27" s="528"/>
      <c r="PS27" s="528"/>
      <c r="PT27" s="528"/>
      <c r="PU27" s="528"/>
      <c r="PV27" s="528"/>
      <c r="PW27" s="528"/>
      <c r="PX27" s="528"/>
      <c r="PY27" s="528"/>
      <c r="PZ27" s="528"/>
      <c r="QA27" s="528"/>
      <c r="QB27" s="528"/>
      <c r="QC27" s="528"/>
      <c r="QD27" s="528"/>
      <c r="QE27" s="528"/>
      <c r="QF27" s="528"/>
      <c r="QG27" s="528"/>
      <c r="QH27" s="528"/>
      <c r="QI27" s="528"/>
      <c r="QJ27" s="528"/>
      <c r="QK27" s="528"/>
      <c r="QL27" s="528"/>
      <c r="QM27" s="528"/>
      <c r="QN27" s="528"/>
      <c r="QO27" s="528"/>
      <c r="QP27" s="528"/>
      <c r="QQ27" s="528"/>
      <c r="QR27" s="528"/>
      <c r="QS27" s="528"/>
      <c r="QT27" s="528"/>
      <c r="QU27" s="528"/>
      <c r="QV27" s="528"/>
      <c r="QW27" s="528"/>
      <c r="QX27" s="528"/>
      <c r="QY27" s="528"/>
      <c r="QZ27" s="528"/>
      <c r="RA27" s="528"/>
      <c r="RB27" s="528"/>
      <c r="RC27" s="528"/>
      <c r="RD27" s="528"/>
      <c r="RE27" s="528"/>
      <c r="RF27" s="528"/>
      <c r="RG27" s="528"/>
      <c r="RH27" s="528"/>
      <c r="RI27" s="528"/>
      <c r="RJ27" s="528"/>
      <c r="RK27" s="528"/>
      <c r="RL27" s="528"/>
      <c r="RM27" s="528"/>
      <c r="RN27" s="528"/>
      <c r="RO27" s="528"/>
      <c r="RP27" s="528"/>
      <c r="RQ27" s="528"/>
      <c r="RR27" s="528"/>
      <c r="RS27" s="528"/>
      <c r="RT27" s="528"/>
      <c r="RU27" s="528"/>
      <c r="RV27" s="528"/>
      <c r="RW27" s="528"/>
      <c r="RX27" s="528"/>
    </row>
    <row r="28" spans="1:492" s="529" customFormat="1" ht="20.149999999999999" customHeight="1">
      <c r="A28" s="546" t="s">
        <v>457</v>
      </c>
      <c r="B28" s="571" t="s">
        <v>458</v>
      </c>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57">
        <v>124.8</v>
      </c>
      <c r="AN28" s="527">
        <v>140.89999999999998</v>
      </c>
      <c r="AO28" s="527">
        <v>84.100000000000023</v>
      </c>
      <c r="AP28" s="527">
        <v>162.30000000000001</v>
      </c>
      <c r="AQ28" s="558">
        <f t="shared" si="37"/>
        <v>512.1</v>
      </c>
      <c r="AR28" s="527"/>
      <c r="AS28" s="527"/>
      <c r="AT28" s="527"/>
      <c r="AU28" s="527"/>
      <c r="AV28" s="522"/>
      <c r="AW28" s="527">
        <v>130.80000000000001</v>
      </c>
      <c r="AX28" s="527">
        <v>146.09999999999997</v>
      </c>
      <c r="AY28" s="527">
        <v>81.800000000000011</v>
      </c>
      <c r="AZ28" s="527">
        <v>179.90000000000003</v>
      </c>
      <c r="BA28" s="533">
        <f>SUM(AW28:AZ28)</f>
        <v>538.6</v>
      </c>
      <c r="BB28" s="557">
        <v>132</v>
      </c>
      <c r="BC28" s="527">
        <v>103.4</v>
      </c>
      <c r="BD28" s="527">
        <v>117.79999999999998</v>
      </c>
      <c r="BE28" s="527">
        <v>181.50000000000006</v>
      </c>
      <c r="BF28" s="558">
        <f>SUM(BB28:BE28)</f>
        <v>534.70000000000005</v>
      </c>
      <c r="BG28" s="527">
        <v>125.7</v>
      </c>
      <c r="BH28" s="527">
        <v>147.80000000000001</v>
      </c>
      <c r="BI28" s="527">
        <v>91.100000000000009</v>
      </c>
      <c r="BJ28" s="527">
        <f>513.6-SUM(BG28:BI28)</f>
        <v>149</v>
      </c>
      <c r="BK28" s="558">
        <f>SUM(BG28:BJ28)</f>
        <v>513.6</v>
      </c>
      <c r="BL28" s="527">
        <v>67.900000000000006</v>
      </c>
      <c r="BM28" s="521">
        <f>182.7-BL28</f>
        <v>114.79999999999998</v>
      </c>
      <c r="BN28" s="527">
        <f>232.4-BM28-BL28</f>
        <v>49.700000000000017</v>
      </c>
      <c r="BO28" s="527">
        <f>395.2-BN28-BM28-BL28</f>
        <v>162.80000000000001</v>
      </c>
      <c r="BP28" s="558">
        <f>SUM(BL28:BO28)</f>
        <v>395.20000000000005</v>
      </c>
      <c r="BQ28" s="527">
        <v>53.9</v>
      </c>
      <c r="BR28" s="521">
        <v>118.5</v>
      </c>
      <c r="BS28" s="527">
        <v>43.500000000000007</v>
      </c>
      <c r="BT28" s="527">
        <v>100.8</v>
      </c>
      <c r="BU28" s="558">
        <f>SUM(BQ28:BT28)</f>
        <v>316.7</v>
      </c>
      <c r="BV28" s="527">
        <v>72.599999999999994</v>
      </c>
      <c r="BW28" s="527">
        <v>106.20000000000002</v>
      </c>
      <c r="BX28" s="527"/>
      <c r="BY28" s="527"/>
      <c r="BZ28" s="558">
        <f>SUM(BV28:BY28)</f>
        <v>178.8</v>
      </c>
      <c r="CA28" s="528"/>
      <c r="CB28" s="944"/>
      <c r="CC28" s="944"/>
      <c r="CD28" s="528"/>
      <c r="CE28" s="528"/>
      <c r="CF28" s="528"/>
      <c r="CG28" s="528"/>
      <c r="CH28" s="528"/>
      <c r="CI28" s="528"/>
      <c r="CJ28" s="528"/>
      <c r="CK28" s="528"/>
      <c r="CL28" s="528"/>
      <c r="CM28" s="528"/>
      <c r="CN28" s="528"/>
      <c r="CO28" s="528"/>
      <c r="CP28" s="528"/>
      <c r="CQ28" s="528"/>
      <c r="CR28" s="528"/>
      <c r="CS28" s="528"/>
      <c r="CT28" s="528"/>
      <c r="CU28" s="528"/>
      <c r="CV28" s="528"/>
      <c r="CW28" s="528"/>
      <c r="CX28" s="528"/>
      <c r="CY28" s="528"/>
      <c r="CZ28" s="528"/>
      <c r="DA28" s="528"/>
      <c r="DB28" s="528"/>
      <c r="DC28" s="528"/>
      <c r="DD28" s="528"/>
      <c r="DE28" s="528"/>
      <c r="DF28" s="528"/>
      <c r="DG28" s="528"/>
      <c r="DH28" s="528"/>
      <c r="DI28" s="528"/>
      <c r="DJ28" s="528"/>
      <c r="DK28" s="528"/>
      <c r="DL28" s="528"/>
      <c r="DM28" s="528"/>
      <c r="DN28" s="528"/>
      <c r="DO28" s="528"/>
      <c r="DP28" s="528"/>
      <c r="DQ28" s="528"/>
      <c r="DR28" s="528"/>
      <c r="DS28" s="528"/>
      <c r="DT28" s="528"/>
      <c r="DU28" s="528"/>
      <c r="DV28" s="528"/>
      <c r="DW28" s="528"/>
      <c r="DX28" s="528"/>
      <c r="DY28" s="528"/>
      <c r="DZ28" s="528"/>
      <c r="EA28" s="528"/>
      <c r="EB28" s="528"/>
      <c r="EC28" s="528"/>
      <c r="ED28" s="528"/>
      <c r="EE28" s="528"/>
      <c r="EF28" s="528"/>
      <c r="EG28" s="528"/>
      <c r="EH28" s="528"/>
      <c r="EI28" s="528"/>
      <c r="EJ28" s="528"/>
      <c r="EK28" s="528"/>
      <c r="EL28" s="528"/>
      <c r="EM28" s="528"/>
      <c r="EN28" s="528"/>
      <c r="EO28" s="528"/>
      <c r="EP28" s="528"/>
      <c r="EQ28" s="528"/>
      <c r="ER28" s="528"/>
      <c r="ES28" s="528"/>
      <c r="ET28" s="528"/>
      <c r="EU28" s="528"/>
      <c r="EV28" s="528"/>
      <c r="EW28" s="528"/>
      <c r="EX28" s="528"/>
      <c r="EY28" s="528"/>
      <c r="EZ28" s="528"/>
      <c r="FA28" s="528"/>
      <c r="FB28" s="528"/>
      <c r="FC28" s="528"/>
      <c r="FD28" s="528"/>
      <c r="FE28" s="528"/>
      <c r="FF28" s="528"/>
      <c r="FG28" s="528"/>
      <c r="FH28" s="528"/>
      <c r="FI28" s="528"/>
      <c r="FJ28" s="528"/>
      <c r="FK28" s="528"/>
      <c r="FL28" s="528"/>
      <c r="FM28" s="528"/>
      <c r="FN28" s="528"/>
      <c r="FO28" s="528"/>
      <c r="FP28" s="528"/>
      <c r="FQ28" s="528"/>
      <c r="FR28" s="528"/>
      <c r="FS28" s="528"/>
      <c r="FT28" s="528"/>
      <c r="FU28" s="528"/>
      <c r="FV28" s="528"/>
      <c r="FW28" s="528"/>
      <c r="FX28" s="528"/>
      <c r="FY28" s="528"/>
      <c r="FZ28" s="528"/>
      <c r="GA28" s="528"/>
      <c r="GB28" s="528"/>
      <c r="GC28" s="528"/>
      <c r="GD28" s="528"/>
      <c r="GE28" s="528"/>
      <c r="GF28" s="528"/>
      <c r="GG28" s="528"/>
      <c r="GH28" s="528"/>
      <c r="GI28" s="528"/>
      <c r="GJ28" s="528"/>
      <c r="GK28" s="528"/>
      <c r="GL28" s="528"/>
      <c r="GM28" s="528"/>
      <c r="GN28" s="528"/>
      <c r="GO28" s="528"/>
      <c r="GP28" s="528"/>
      <c r="GQ28" s="528"/>
      <c r="GR28" s="528"/>
      <c r="GS28" s="528"/>
      <c r="GT28" s="528"/>
      <c r="GU28" s="528"/>
      <c r="GV28" s="528"/>
      <c r="GW28" s="528"/>
      <c r="GX28" s="528"/>
      <c r="GY28" s="528"/>
      <c r="GZ28" s="528"/>
      <c r="HA28" s="528"/>
      <c r="HB28" s="528"/>
      <c r="HC28" s="528"/>
      <c r="HD28" s="528"/>
      <c r="HE28" s="528"/>
      <c r="HF28" s="528"/>
      <c r="HG28" s="528"/>
      <c r="HH28" s="528"/>
      <c r="HI28" s="528"/>
      <c r="HJ28" s="528"/>
      <c r="HK28" s="528"/>
      <c r="HL28" s="528"/>
      <c r="HM28" s="528"/>
      <c r="HN28" s="528"/>
      <c r="HO28" s="528"/>
      <c r="HP28" s="528"/>
      <c r="HQ28" s="528"/>
      <c r="HR28" s="528"/>
      <c r="HS28" s="528"/>
      <c r="HT28" s="528"/>
      <c r="HU28" s="528"/>
      <c r="HV28" s="528"/>
      <c r="HW28" s="528"/>
      <c r="HX28" s="528"/>
      <c r="HY28" s="528"/>
      <c r="HZ28" s="528"/>
      <c r="IA28" s="528"/>
      <c r="IB28" s="528"/>
      <c r="IC28" s="528"/>
      <c r="ID28" s="528"/>
      <c r="IE28" s="528"/>
      <c r="IF28" s="528"/>
      <c r="IG28" s="528"/>
      <c r="IH28" s="528"/>
      <c r="II28" s="528"/>
      <c r="IJ28" s="528"/>
      <c r="IK28" s="528"/>
      <c r="IL28" s="528"/>
      <c r="IM28" s="528"/>
      <c r="IN28" s="528"/>
      <c r="IO28" s="528"/>
      <c r="IP28" s="528"/>
      <c r="IQ28" s="528"/>
      <c r="IR28" s="528"/>
      <c r="IS28" s="528"/>
      <c r="IT28" s="528"/>
      <c r="IU28" s="528"/>
      <c r="IV28" s="528"/>
      <c r="IW28" s="528"/>
      <c r="IX28" s="528"/>
      <c r="IY28" s="528"/>
      <c r="IZ28" s="528"/>
      <c r="JA28" s="528"/>
      <c r="JB28" s="528"/>
      <c r="JC28" s="528"/>
      <c r="JD28" s="528"/>
      <c r="JE28" s="528"/>
      <c r="JF28" s="528"/>
      <c r="JG28" s="528"/>
      <c r="JH28" s="528"/>
      <c r="JI28" s="528"/>
      <c r="JJ28" s="528"/>
      <c r="JK28" s="528"/>
      <c r="JL28" s="528"/>
      <c r="JM28" s="528"/>
      <c r="JN28" s="528"/>
      <c r="JO28" s="528"/>
      <c r="JP28" s="528"/>
      <c r="JQ28" s="528"/>
      <c r="JR28" s="528"/>
      <c r="JS28" s="528"/>
      <c r="JT28" s="528"/>
      <c r="JU28" s="528"/>
      <c r="JV28" s="528"/>
      <c r="JW28" s="528"/>
      <c r="JX28" s="528"/>
      <c r="JY28" s="528"/>
      <c r="JZ28" s="528"/>
      <c r="KA28" s="528"/>
      <c r="KB28" s="528"/>
      <c r="KC28" s="528"/>
      <c r="KD28" s="528"/>
      <c r="KE28" s="528"/>
      <c r="KF28" s="528"/>
      <c r="KG28" s="528"/>
      <c r="KH28" s="528"/>
      <c r="KI28" s="528"/>
      <c r="KJ28" s="528"/>
      <c r="KK28" s="528"/>
      <c r="KL28" s="528"/>
      <c r="KM28" s="528"/>
      <c r="KN28" s="528"/>
      <c r="KO28" s="528"/>
      <c r="KP28" s="528"/>
      <c r="KQ28" s="528"/>
      <c r="KR28" s="528"/>
      <c r="KS28" s="528"/>
      <c r="KT28" s="528"/>
      <c r="KU28" s="528"/>
      <c r="KV28" s="528"/>
      <c r="KW28" s="528"/>
      <c r="KX28" s="528"/>
      <c r="KY28" s="528"/>
      <c r="KZ28" s="528"/>
      <c r="LA28" s="528"/>
      <c r="LB28" s="528"/>
      <c r="LC28" s="528"/>
      <c r="LD28" s="528"/>
      <c r="LE28" s="528"/>
      <c r="LF28" s="528"/>
      <c r="LG28" s="528"/>
      <c r="LH28" s="528"/>
      <c r="LI28" s="528"/>
      <c r="LJ28" s="528"/>
      <c r="LK28" s="528"/>
      <c r="LL28" s="528"/>
      <c r="LM28" s="528"/>
      <c r="LN28" s="528"/>
      <c r="LO28" s="528"/>
      <c r="LP28" s="528"/>
      <c r="LQ28" s="528"/>
      <c r="LR28" s="528"/>
      <c r="LS28" s="528"/>
      <c r="LT28" s="528"/>
      <c r="LU28" s="528"/>
      <c r="LV28" s="528"/>
      <c r="LW28" s="528"/>
      <c r="LX28" s="528"/>
      <c r="LY28" s="528"/>
      <c r="LZ28" s="528"/>
      <c r="MA28" s="528"/>
      <c r="MB28" s="528"/>
      <c r="MC28" s="528"/>
      <c r="MD28" s="528"/>
      <c r="ME28" s="528"/>
      <c r="MF28" s="528"/>
      <c r="MG28" s="528"/>
      <c r="MH28" s="528"/>
      <c r="MI28" s="528"/>
      <c r="MJ28" s="528"/>
      <c r="MK28" s="528"/>
      <c r="ML28" s="528"/>
      <c r="MM28" s="528"/>
      <c r="MN28" s="528"/>
      <c r="MO28" s="528"/>
      <c r="MP28" s="528"/>
      <c r="MQ28" s="528"/>
      <c r="MR28" s="528"/>
      <c r="MS28" s="528"/>
      <c r="MT28" s="528"/>
      <c r="MU28" s="528"/>
      <c r="MV28" s="528"/>
      <c r="MW28" s="528"/>
      <c r="MX28" s="528"/>
      <c r="MY28" s="528"/>
      <c r="MZ28" s="528"/>
      <c r="NA28" s="528"/>
      <c r="NB28" s="528"/>
      <c r="NC28" s="528"/>
      <c r="ND28" s="528"/>
      <c r="NE28" s="528"/>
      <c r="NF28" s="528"/>
      <c r="NG28" s="528"/>
      <c r="NH28" s="528"/>
      <c r="NI28" s="528"/>
      <c r="NJ28" s="528"/>
      <c r="NK28" s="528"/>
      <c r="NL28" s="528"/>
      <c r="NM28" s="528"/>
      <c r="NN28" s="528"/>
      <c r="NO28" s="528"/>
      <c r="NP28" s="528"/>
      <c r="NQ28" s="528"/>
      <c r="NR28" s="528"/>
      <c r="NS28" s="528"/>
      <c r="NT28" s="528"/>
      <c r="NU28" s="528"/>
      <c r="NV28" s="528"/>
      <c r="NW28" s="528"/>
      <c r="NX28" s="528"/>
      <c r="NY28" s="528"/>
      <c r="NZ28" s="528"/>
      <c r="OA28" s="528"/>
      <c r="OB28" s="528"/>
      <c r="OC28" s="528"/>
      <c r="OD28" s="528"/>
      <c r="OE28" s="528"/>
      <c r="OF28" s="528"/>
      <c r="OG28" s="528"/>
      <c r="OH28" s="528"/>
      <c r="OI28" s="528"/>
      <c r="OJ28" s="528"/>
      <c r="OK28" s="528"/>
      <c r="OL28" s="528"/>
      <c r="OM28" s="528"/>
      <c r="ON28" s="528"/>
      <c r="OO28" s="528"/>
      <c r="OP28" s="528"/>
      <c r="OQ28" s="528"/>
      <c r="OR28" s="528"/>
      <c r="OS28" s="528"/>
      <c r="OT28" s="528"/>
      <c r="OU28" s="528"/>
      <c r="OV28" s="528"/>
      <c r="OW28" s="528"/>
      <c r="OX28" s="528"/>
      <c r="OY28" s="528"/>
      <c r="OZ28" s="528"/>
      <c r="PA28" s="528"/>
      <c r="PB28" s="528"/>
      <c r="PC28" s="528"/>
      <c r="PD28" s="528"/>
      <c r="PE28" s="528"/>
      <c r="PF28" s="528"/>
      <c r="PG28" s="528"/>
      <c r="PH28" s="528"/>
      <c r="PI28" s="528"/>
      <c r="PJ28" s="528"/>
      <c r="PK28" s="528"/>
      <c r="PL28" s="528"/>
      <c r="PM28" s="528"/>
      <c r="PN28" s="528"/>
      <c r="PO28" s="528"/>
      <c r="PP28" s="528"/>
      <c r="PQ28" s="528"/>
      <c r="PR28" s="528"/>
      <c r="PS28" s="528"/>
      <c r="PT28" s="528"/>
      <c r="PU28" s="528"/>
      <c r="PV28" s="528"/>
      <c r="PW28" s="528"/>
      <c r="PX28" s="528"/>
      <c r="PY28" s="528"/>
      <c r="PZ28" s="528"/>
      <c r="QA28" s="528"/>
      <c r="QB28" s="528"/>
      <c r="QC28" s="528"/>
      <c r="QD28" s="528"/>
      <c r="QE28" s="528"/>
      <c r="QF28" s="528"/>
      <c r="QG28" s="528"/>
      <c r="QH28" s="528"/>
      <c r="QI28" s="528"/>
      <c r="QJ28" s="528"/>
      <c r="QK28" s="528"/>
      <c r="QL28" s="528"/>
      <c r="QM28" s="528"/>
      <c r="QN28" s="528"/>
      <c r="QO28" s="528"/>
      <c r="QP28" s="528"/>
      <c r="QQ28" s="528"/>
      <c r="QR28" s="528"/>
      <c r="QS28" s="528"/>
      <c r="QT28" s="528"/>
      <c r="QU28" s="528"/>
      <c r="QV28" s="528"/>
      <c r="QW28" s="528"/>
      <c r="QX28" s="528"/>
      <c r="QY28" s="528"/>
      <c r="QZ28" s="528"/>
      <c r="RA28" s="528"/>
      <c r="RB28" s="528"/>
      <c r="RC28" s="528"/>
      <c r="RD28" s="528"/>
      <c r="RE28" s="528"/>
      <c r="RF28" s="528"/>
      <c r="RG28" s="528"/>
      <c r="RH28" s="528"/>
      <c r="RI28" s="528"/>
      <c r="RJ28" s="528"/>
      <c r="RK28" s="528"/>
      <c r="RL28" s="528"/>
      <c r="RM28" s="528"/>
      <c r="RN28" s="528"/>
      <c r="RO28" s="528"/>
      <c r="RP28" s="528"/>
      <c r="RQ28" s="528"/>
      <c r="RR28" s="528"/>
      <c r="RS28" s="528"/>
      <c r="RT28" s="528"/>
      <c r="RU28" s="528"/>
      <c r="RV28" s="528"/>
      <c r="RW28" s="528"/>
      <c r="RX28" s="528"/>
    </row>
    <row r="29" spans="1:492" s="529" customFormat="1" ht="20.149999999999999" customHeight="1">
      <c r="A29" s="546" t="s">
        <v>467</v>
      </c>
      <c r="B29" s="571" t="s">
        <v>460</v>
      </c>
      <c r="C29" s="526"/>
      <c r="D29" s="526"/>
      <c r="E29" s="526"/>
      <c r="F29" s="526"/>
      <c r="G29" s="526"/>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57"/>
      <c r="AN29" s="527"/>
      <c r="AO29" s="527"/>
      <c r="AP29" s="527"/>
      <c r="AQ29" s="558"/>
      <c r="AR29" s="527"/>
      <c r="AS29" s="527"/>
      <c r="AT29" s="527"/>
      <c r="AU29" s="527"/>
      <c r="AV29" s="522"/>
      <c r="AW29" s="527"/>
      <c r="AX29" s="527"/>
      <c r="AY29" s="527"/>
      <c r="AZ29" s="527"/>
      <c r="BA29" s="533"/>
      <c r="BB29" s="557"/>
      <c r="BC29" s="527"/>
      <c r="BD29" s="527"/>
      <c r="BE29" s="527"/>
      <c r="BF29" s="558"/>
      <c r="BG29" s="527"/>
      <c r="BH29" s="527"/>
      <c r="BI29" s="527"/>
      <c r="BJ29" s="527"/>
      <c r="BK29" s="558"/>
      <c r="BL29" s="527"/>
      <c r="BM29" s="521">
        <v>0.1</v>
      </c>
      <c r="BN29" s="527">
        <f>4.5-BM29-BL29</f>
        <v>4.4000000000000004</v>
      </c>
      <c r="BO29" s="527">
        <f>41.3-BN29-BM29</f>
        <v>36.799999999999997</v>
      </c>
      <c r="BP29" s="558">
        <f t="shared" ref="BP29:BP31" si="38">SUM(BL29:BO29)</f>
        <v>41.3</v>
      </c>
      <c r="BQ29" s="527">
        <v>1.7</v>
      </c>
      <c r="BR29" s="521">
        <v>0.7</v>
      </c>
      <c r="BS29" s="527">
        <v>3.5</v>
      </c>
      <c r="BT29" s="527">
        <v>-1.4</v>
      </c>
      <c r="BU29" s="558">
        <f t="shared" ref="BU29:BU31" si="39">SUM(BQ29:BT29)</f>
        <v>4.5</v>
      </c>
      <c r="BV29" s="758">
        <v>2.4</v>
      </c>
      <c r="BW29" s="758">
        <v>-2.1999999999999997</v>
      </c>
      <c r="BX29" s="527"/>
      <c r="BY29" s="527"/>
      <c r="BZ29" s="577">
        <f t="shared" ref="BZ29:BZ31" si="40">SUM(BV29:BY29)</f>
        <v>0.20000000000000018</v>
      </c>
      <c r="CA29" s="528"/>
      <c r="CB29" s="528"/>
      <c r="CC29" s="944"/>
      <c r="CD29" s="528"/>
      <c r="CE29" s="528"/>
      <c r="CF29" s="528"/>
      <c r="CG29" s="528"/>
      <c r="CH29" s="528"/>
      <c r="CI29" s="528"/>
      <c r="CJ29" s="528"/>
      <c r="CK29" s="528"/>
      <c r="CL29" s="528"/>
      <c r="CM29" s="528"/>
      <c r="CN29" s="528"/>
      <c r="CO29" s="528"/>
      <c r="CP29" s="528"/>
      <c r="CQ29" s="528"/>
      <c r="CR29" s="528"/>
      <c r="CS29" s="528"/>
      <c r="CT29" s="528"/>
      <c r="CU29" s="528"/>
      <c r="CV29" s="528"/>
      <c r="CW29" s="528"/>
      <c r="CX29" s="528"/>
      <c r="CY29" s="528"/>
      <c r="CZ29" s="528"/>
      <c r="DA29" s="528"/>
      <c r="DB29" s="528"/>
      <c r="DC29" s="528"/>
      <c r="DD29" s="528"/>
      <c r="DE29" s="528"/>
      <c r="DF29" s="528"/>
      <c r="DG29" s="528"/>
      <c r="DH29" s="528"/>
      <c r="DI29" s="528"/>
      <c r="DJ29" s="528"/>
      <c r="DK29" s="528"/>
      <c r="DL29" s="528"/>
      <c r="DM29" s="528"/>
      <c r="DN29" s="528"/>
      <c r="DO29" s="528"/>
      <c r="DP29" s="528"/>
      <c r="DQ29" s="528"/>
      <c r="DR29" s="528"/>
      <c r="DS29" s="528"/>
      <c r="DT29" s="528"/>
      <c r="DU29" s="528"/>
      <c r="DV29" s="528"/>
      <c r="DW29" s="528"/>
      <c r="DX29" s="528"/>
      <c r="DY29" s="528"/>
      <c r="DZ29" s="528"/>
      <c r="EA29" s="528"/>
      <c r="EB29" s="528"/>
      <c r="EC29" s="528"/>
      <c r="ED29" s="528"/>
      <c r="EE29" s="528"/>
      <c r="EF29" s="528"/>
      <c r="EG29" s="528"/>
      <c r="EH29" s="528"/>
      <c r="EI29" s="528"/>
      <c r="EJ29" s="528"/>
      <c r="EK29" s="528"/>
      <c r="EL29" s="528"/>
      <c r="EM29" s="528"/>
      <c r="EN29" s="528"/>
      <c r="EO29" s="528"/>
      <c r="EP29" s="528"/>
      <c r="EQ29" s="528"/>
      <c r="ER29" s="528"/>
      <c r="ES29" s="528"/>
      <c r="ET29" s="528"/>
      <c r="EU29" s="528"/>
      <c r="EV29" s="528"/>
      <c r="EW29" s="528"/>
      <c r="EX29" s="528"/>
      <c r="EY29" s="528"/>
      <c r="EZ29" s="528"/>
      <c r="FA29" s="528"/>
      <c r="FB29" s="528"/>
      <c r="FC29" s="528"/>
      <c r="FD29" s="528"/>
      <c r="FE29" s="528"/>
      <c r="FF29" s="528"/>
      <c r="FG29" s="528"/>
      <c r="FH29" s="528"/>
      <c r="FI29" s="528"/>
      <c r="FJ29" s="528"/>
      <c r="FK29" s="528"/>
      <c r="FL29" s="528"/>
      <c r="FM29" s="528"/>
      <c r="FN29" s="528"/>
      <c r="FO29" s="528"/>
      <c r="FP29" s="528"/>
      <c r="FQ29" s="528"/>
      <c r="FR29" s="528"/>
      <c r="FS29" s="528"/>
      <c r="FT29" s="528"/>
      <c r="FU29" s="528"/>
      <c r="FV29" s="528"/>
      <c r="FW29" s="528"/>
      <c r="FX29" s="528"/>
      <c r="FY29" s="528"/>
      <c r="FZ29" s="528"/>
      <c r="GA29" s="528"/>
      <c r="GB29" s="528"/>
      <c r="GC29" s="528"/>
      <c r="GD29" s="528"/>
      <c r="GE29" s="528"/>
      <c r="GF29" s="528"/>
      <c r="GG29" s="528"/>
      <c r="GH29" s="528"/>
      <c r="GI29" s="528"/>
      <c r="GJ29" s="528"/>
      <c r="GK29" s="528"/>
      <c r="GL29" s="528"/>
      <c r="GM29" s="528"/>
      <c r="GN29" s="528"/>
      <c r="GO29" s="528"/>
      <c r="GP29" s="528"/>
      <c r="GQ29" s="528"/>
      <c r="GR29" s="528"/>
      <c r="GS29" s="528"/>
      <c r="GT29" s="528"/>
      <c r="GU29" s="528"/>
      <c r="GV29" s="528"/>
      <c r="GW29" s="528"/>
      <c r="GX29" s="528"/>
      <c r="GY29" s="528"/>
      <c r="GZ29" s="528"/>
      <c r="HA29" s="528"/>
      <c r="HB29" s="528"/>
      <c r="HC29" s="528"/>
      <c r="HD29" s="528"/>
      <c r="HE29" s="528"/>
      <c r="HF29" s="528"/>
      <c r="HG29" s="528"/>
      <c r="HH29" s="528"/>
      <c r="HI29" s="528"/>
      <c r="HJ29" s="528"/>
      <c r="HK29" s="528"/>
      <c r="HL29" s="528"/>
      <c r="HM29" s="528"/>
      <c r="HN29" s="528"/>
      <c r="HO29" s="528"/>
      <c r="HP29" s="528"/>
      <c r="HQ29" s="528"/>
      <c r="HR29" s="528"/>
      <c r="HS29" s="528"/>
      <c r="HT29" s="528"/>
      <c r="HU29" s="528"/>
      <c r="HV29" s="528"/>
      <c r="HW29" s="528"/>
      <c r="HX29" s="528"/>
      <c r="HY29" s="528"/>
      <c r="HZ29" s="528"/>
      <c r="IA29" s="528"/>
      <c r="IB29" s="528"/>
      <c r="IC29" s="528"/>
      <c r="ID29" s="528"/>
      <c r="IE29" s="528"/>
      <c r="IF29" s="528"/>
      <c r="IG29" s="528"/>
      <c r="IH29" s="528"/>
      <c r="II29" s="528"/>
      <c r="IJ29" s="528"/>
      <c r="IK29" s="528"/>
      <c r="IL29" s="528"/>
      <c r="IM29" s="528"/>
      <c r="IN29" s="528"/>
      <c r="IO29" s="528"/>
      <c r="IP29" s="528"/>
      <c r="IQ29" s="528"/>
      <c r="IR29" s="528"/>
      <c r="IS29" s="528"/>
      <c r="IT29" s="528"/>
      <c r="IU29" s="528"/>
      <c r="IV29" s="528"/>
      <c r="IW29" s="528"/>
      <c r="IX29" s="528"/>
      <c r="IY29" s="528"/>
      <c r="IZ29" s="528"/>
      <c r="JA29" s="528"/>
      <c r="JB29" s="528"/>
      <c r="JC29" s="528"/>
      <c r="JD29" s="528"/>
      <c r="JE29" s="528"/>
      <c r="JF29" s="528"/>
      <c r="JG29" s="528"/>
      <c r="JH29" s="528"/>
      <c r="JI29" s="528"/>
      <c r="JJ29" s="528"/>
      <c r="JK29" s="528"/>
      <c r="JL29" s="528"/>
      <c r="JM29" s="528"/>
      <c r="JN29" s="528"/>
      <c r="JO29" s="528"/>
      <c r="JP29" s="528"/>
      <c r="JQ29" s="528"/>
      <c r="JR29" s="528"/>
      <c r="JS29" s="528"/>
      <c r="JT29" s="528"/>
      <c r="JU29" s="528"/>
      <c r="JV29" s="528"/>
      <c r="JW29" s="528"/>
      <c r="JX29" s="528"/>
      <c r="JY29" s="528"/>
      <c r="JZ29" s="528"/>
      <c r="KA29" s="528"/>
      <c r="KB29" s="528"/>
      <c r="KC29" s="528"/>
      <c r="KD29" s="528"/>
      <c r="KE29" s="528"/>
      <c r="KF29" s="528"/>
      <c r="KG29" s="528"/>
      <c r="KH29" s="528"/>
      <c r="KI29" s="528"/>
      <c r="KJ29" s="528"/>
      <c r="KK29" s="528"/>
      <c r="KL29" s="528"/>
      <c r="KM29" s="528"/>
      <c r="KN29" s="528"/>
      <c r="KO29" s="528"/>
      <c r="KP29" s="528"/>
      <c r="KQ29" s="528"/>
      <c r="KR29" s="528"/>
      <c r="KS29" s="528"/>
      <c r="KT29" s="528"/>
      <c r="KU29" s="528"/>
      <c r="KV29" s="528"/>
      <c r="KW29" s="528"/>
      <c r="KX29" s="528"/>
      <c r="KY29" s="528"/>
      <c r="KZ29" s="528"/>
      <c r="LA29" s="528"/>
      <c r="LB29" s="528"/>
      <c r="LC29" s="528"/>
      <c r="LD29" s="528"/>
      <c r="LE29" s="528"/>
      <c r="LF29" s="528"/>
      <c r="LG29" s="528"/>
      <c r="LH29" s="528"/>
      <c r="LI29" s="528"/>
      <c r="LJ29" s="528"/>
      <c r="LK29" s="528"/>
      <c r="LL29" s="528"/>
      <c r="LM29" s="528"/>
      <c r="LN29" s="528"/>
      <c r="LO29" s="528"/>
      <c r="LP29" s="528"/>
      <c r="LQ29" s="528"/>
      <c r="LR29" s="528"/>
      <c r="LS29" s="528"/>
      <c r="LT29" s="528"/>
      <c r="LU29" s="528"/>
      <c r="LV29" s="528"/>
      <c r="LW29" s="528"/>
      <c r="LX29" s="528"/>
      <c r="LY29" s="528"/>
      <c r="LZ29" s="528"/>
      <c r="MA29" s="528"/>
      <c r="MB29" s="528"/>
      <c r="MC29" s="528"/>
      <c r="MD29" s="528"/>
      <c r="ME29" s="528"/>
      <c r="MF29" s="528"/>
      <c r="MG29" s="528"/>
      <c r="MH29" s="528"/>
      <c r="MI29" s="528"/>
      <c r="MJ29" s="528"/>
      <c r="MK29" s="528"/>
      <c r="ML29" s="528"/>
      <c r="MM29" s="528"/>
      <c r="MN29" s="528"/>
      <c r="MO29" s="528"/>
      <c r="MP29" s="528"/>
      <c r="MQ29" s="528"/>
      <c r="MR29" s="528"/>
      <c r="MS29" s="528"/>
      <c r="MT29" s="528"/>
      <c r="MU29" s="528"/>
      <c r="MV29" s="528"/>
      <c r="MW29" s="528"/>
      <c r="MX29" s="528"/>
      <c r="MY29" s="528"/>
      <c r="MZ29" s="528"/>
      <c r="NA29" s="528"/>
      <c r="NB29" s="528"/>
      <c r="NC29" s="528"/>
      <c r="ND29" s="528"/>
      <c r="NE29" s="528"/>
      <c r="NF29" s="528"/>
      <c r="NG29" s="528"/>
      <c r="NH29" s="528"/>
      <c r="NI29" s="528"/>
      <c r="NJ29" s="528"/>
      <c r="NK29" s="528"/>
      <c r="NL29" s="528"/>
      <c r="NM29" s="528"/>
      <c r="NN29" s="528"/>
      <c r="NO29" s="528"/>
      <c r="NP29" s="528"/>
      <c r="NQ29" s="528"/>
      <c r="NR29" s="528"/>
      <c r="NS29" s="528"/>
      <c r="NT29" s="528"/>
      <c r="NU29" s="528"/>
      <c r="NV29" s="528"/>
      <c r="NW29" s="528"/>
      <c r="NX29" s="528"/>
      <c r="NY29" s="528"/>
      <c r="NZ29" s="528"/>
      <c r="OA29" s="528"/>
      <c r="OB29" s="528"/>
      <c r="OC29" s="528"/>
      <c r="OD29" s="528"/>
      <c r="OE29" s="528"/>
      <c r="OF29" s="528"/>
      <c r="OG29" s="528"/>
      <c r="OH29" s="528"/>
      <c r="OI29" s="528"/>
      <c r="OJ29" s="528"/>
      <c r="OK29" s="528"/>
      <c r="OL29" s="528"/>
      <c r="OM29" s="528"/>
      <c r="ON29" s="528"/>
      <c r="OO29" s="528"/>
      <c r="OP29" s="528"/>
      <c r="OQ29" s="528"/>
      <c r="OR29" s="528"/>
      <c r="OS29" s="528"/>
      <c r="OT29" s="528"/>
      <c r="OU29" s="528"/>
      <c r="OV29" s="528"/>
      <c r="OW29" s="528"/>
      <c r="OX29" s="528"/>
      <c r="OY29" s="528"/>
      <c r="OZ29" s="528"/>
      <c r="PA29" s="528"/>
      <c r="PB29" s="528"/>
      <c r="PC29" s="528"/>
      <c r="PD29" s="528"/>
      <c r="PE29" s="528"/>
      <c r="PF29" s="528"/>
      <c r="PG29" s="528"/>
      <c r="PH29" s="528"/>
      <c r="PI29" s="528"/>
      <c r="PJ29" s="528"/>
      <c r="PK29" s="528"/>
      <c r="PL29" s="528"/>
      <c r="PM29" s="528"/>
      <c r="PN29" s="528"/>
      <c r="PO29" s="528"/>
      <c r="PP29" s="528"/>
      <c r="PQ29" s="528"/>
      <c r="PR29" s="528"/>
      <c r="PS29" s="528"/>
      <c r="PT29" s="528"/>
      <c r="PU29" s="528"/>
      <c r="PV29" s="528"/>
      <c r="PW29" s="528"/>
      <c r="PX29" s="528"/>
      <c r="PY29" s="528"/>
      <c r="PZ29" s="528"/>
      <c r="QA29" s="528"/>
      <c r="QB29" s="528"/>
      <c r="QC29" s="528"/>
      <c r="QD29" s="528"/>
      <c r="QE29" s="528"/>
      <c r="QF29" s="528"/>
      <c r="QG29" s="528"/>
      <c r="QH29" s="528"/>
      <c r="QI29" s="528"/>
      <c r="QJ29" s="528"/>
      <c r="QK29" s="528"/>
      <c r="QL29" s="528"/>
      <c r="QM29" s="528"/>
      <c r="QN29" s="528"/>
      <c r="QO29" s="528"/>
      <c r="QP29" s="528"/>
      <c r="QQ29" s="528"/>
      <c r="QR29" s="528"/>
      <c r="QS29" s="528"/>
      <c r="QT29" s="528"/>
      <c r="QU29" s="528"/>
      <c r="QV29" s="528"/>
      <c r="QW29" s="528"/>
      <c r="QX29" s="528"/>
      <c r="QY29" s="528"/>
      <c r="QZ29" s="528"/>
      <c r="RA29" s="528"/>
      <c r="RB29" s="528"/>
      <c r="RC29" s="528"/>
      <c r="RD29" s="528"/>
      <c r="RE29" s="528"/>
      <c r="RF29" s="528"/>
      <c r="RG29" s="528"/>
      <c r="RH29" s="528"/>
      <c r="RI29" s="528"/>
      <c r="RJ29" s="528"/>
      <c r="RK29" s="528"/>
      <c r="RL29" s="528"/>
      <c r="RM29" s="528"/>
      <c r="RN29" s="528"/>
      <c r="RO29" s="528"/>
      <c r="RP29" s="528"/>
      <c r="RQ29" s="528"/>
      <c r="RR29" s="528"/>
      <c r="RS29" s="528"/>
      <c r="RT29" s="528"/>
      <c r="RU29" s="528"/>
      <c r="RV29" s="528"/>
      <c r="RW29" s="528"/>
      <c r="RX29" s="528"/>
    </row>
    <row r="30" spans="1:492" s="529" customFormat="1" ht="20.149999999999999" customHeight="1">
      <c r="A30" s="546" t="s">
        <v>461</v>
      </c>
      <c r="B30" s="571" t="s">
        <v>462</v>
      </c>
      <c r="C30" s="526"/>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57"/>
      <c r="AN30" s="527"/>
      <c r="AO30" s="527"/>
      <c r="AP30" s="527"/>
      <c r="AQ30" s="558"/>
      <c r="AR30" s="527"/>
      <c r="AS30" s="527"/>
      <c r="AT30" s="527"/>
      <c r="AU30" s="527"/>
      <c r="AV30" s="522"/>
      <c r="AW30" s="527"/>
      <c r="AX30" s="527"/>
      <c r="AY30" s="527"/>
      <c r="AZ30" s="527"/>
      <c r="BA30" s="533"/>
      <c r="BB30" s="557"/>
      <c r="BC30" s="527"/>
      <c r="BD30" s="527"/>
      <c r="BE30" s="527"/>
      <c r="BF30" s="558"/>
      <c r="BG30" s="527"/>
      <c r="BH30" s="527"/>
      <c r="BI30" s="527"/>
      <c r="BJ30" s="527"/>
      <c r="BK30" s="558"/>
      <c r="BL30" s="527"/>
      <c r="BM30" s="521"/>
      <c r="BN30" s="527"/>
      <c r="BO30" s="527"/>
      <c r="BP30" s="558"/>
      <c r="BQ30" s="527"/>
      <c r="BR30" s="521"/>
      <c r="BS30" s="527">
        <v>15.7</v>
      </c>
      <c r="BT30" s="758">
        <v>-19.8</v>
      </c>
      <c r="BU30" s="558">
        <f t="shared" si="39"/>
        <v>-4.1000000000000014</v>
      </c>
      <c r="BV30" s="527">
        <v>30.3</v>
      </c>
      <c r="BW30" s="527">
        <v>51.400000000000006</v>
      </c>
      <c r="BX30" s="527"/>
      <c r="BY30" s="758"/>
      <c r="BZ30" s="558">
        <f t="shared" si="40"/>
        <v>81.7</v>
      </c>
      <c r="CA30" s="528"/>
      <c r="CB30" s="528"/>
      <c r="CC30" s="944"/>
      <c r="CD30" s="528"/>
      <c r="CE30" s="528"/>
      <c r="CF30" s="528"/>
      <c r="CG30" s="528"/>
      <c r="CH30" s="528"/>
      <c r="CI30" s="528"/>
      <c r="CJ30" s="528"/>
      <c r="CK30" s="528"/>
      <c r="CL30" s="528"/>
      <c r="CM30" s="528"/>
      <c r="CN30" s="528"/>
      <c r="CO30" s="528"/>
      <c r="CP30" s="528"/>
      <c r="CQ30" s="528"/>
      <c r="CR30" s="528"/>
      <c r="CS30" s="528"/>
      <c r="CT30" s="528"/>
      <c r="CU30" s="528"/>
      <c r="CV30" s="528"/>
      <c r="CW30" s="528"/>
      <c r="CX30" s="528"/>
      <c r="CY30" s="528"/>
      <c r="CZ30" s="528"/>
      <c r="DA30" s="528"/>
      <c r="DB30" s="528"/>
      <c r="DC30" s="528"/>
      <c r="DD30" s="528"/>
      <c r="DE30" s="528"/>
      <c r="DF30" s="528"/>
      <c r="DG30" s="528"/>
      <c r="DH30" s="528"/>
      <c r="DI30" s="528"/>
      <c r="DJ30" s="528"/>
      <c r="DK30" s="528"/>
      <c r="DL30" s="528"/>
      <c r="DM30" s="528"/>
      <c r="DN30" s="528"/>
      <c r="DO30" s="528"/>
      <c r="DP30" s="528"/>
      <c r="DQ30" s="528"/>
      <c r="DR30" s="528"/>
      <c r="DS30" s="528"/>
      <c r="DT30" s="528"/>
      <c r="DU30" s="528"/>
      <c r="DV30" s="528"/>
      <c r="DW30" s="528"/>
      <c r="DX30" s="528"/>
      <c r="DY30" s="528"/>
      <c r="DZ30" s="528"/>
      <c r="EA30" s="528"/>
      <c r="EB30" s="528"/>
      <c r="EC30" s="528"/>
      <c r="ED30" s="528"/>
      <c r="EE30" s="528"/>
      <c r="EF30" s="528"/>
      <c r="EG30" s="528"/>
      <c r="EH30" s="528"/>
      <c r="EI30" s="528"/>
      <c r="EJ30" s="528"/>
      <c r="EK30" s="528"/>
      <c r="EL30" s="528"/>
      <c r="EM30" s="528"/>
      <c r="EN30" s="528"/>
      <c r="EO30" s="528"/>
      <c r="EP30" s="528"/>
      <c r="EQ30" s="528"/>
      <c r="ER30" s="528"/>
      <c r="ES30" s="528"/>
      <c r="ET30" s="528"/>
      <c r="EU30" s="528"/>
      <c r="EV30" s="528"/>
      <c r="EW30" s="528"/>
      <c r="EX30" s="528"/>
      <c r="EY30" s="528"/>
      <c r="EZ30" s="528"/>
      <c r="FA30" s="528"/>
      <c r="FB30" s="528"/>
      <c r="FC30" s="528"/>
      <c r="FD30" s="528"/>
      <c r="FE30" s="528"/>
      <c r="FF30" s="528"/>
      <c r="FG30" s="528"/>
      <c r="FH30" s="528"/>
      <c r="FI30" s="528"/>
      <c r="FJ30" s="528"/>
      <c r="FK30" s="528"/>
      <c r="FL30" s="528"/>
      <c r="FM30" s="528"/>
      <c r="FN30" s="528"/>
      <c r="FO30" s="528"/>
      <c r="FP30" s="528"/>
      <c r="FQ30" s="528"/>
      <c r="FR30" s="528"/>
      <c r="FS30" s="528"/>
      <c r="FT30" s="528"/>
      <c r="FU30" s="528"/>
      <c r="FV30" s="528"/>
      <c r="FW30" s="528"/>
      <c r="FX30" s="528"/>
      <c r="FY30" s="528"/>
      <c r="FZ30" s="528"/>
      <c r="GA30" s="528"/>
      <c r="GB30" s="528"/>
      <c r="GC30" s="528"/>
      <c r="GD30" s="528"/>
      <c r="GE30" s="528"/>
      <c r="GF30" s="528"/>
      <c r="GG30" s="528"/>
      <c r="GH30" s="528"/>
      <c r="GI30" s="528"/>
      <c r="GJ30" s="528"/>
      <c r="GK30" s="528"/>
      <c r="GL30" s="528"/>
      <c r="GM30" s="528"/>
      <c r="GN30" s="528"/>
      <c r="GO30" s="528"/>
      <c r="GP30" s="528"/>
      <c r="GQ30" s="528"/>
      <c r="GR30" s="528"/>
      <c r="GS30" s="528"/>
      <c r="GT30" s="528"/>
      <c r="GU30" s="528"/>
      <c r="GV30" s="528"/>
      <c r="GW30" s="528"/>
      <c r="GX30" s="528"/>
      <c r="GY30" s="528"/>
      <c r="GZ30" s="528"/>
      <c r="HA30" s="528"/>
      <c r="HB30" s="528"/>
      <c r="HC30" s="528"/>
      <c r="HD30" s="528"/>
      <c r="HE30" s="528"/>
      <c r="HF30" s="528"/>
      <c r="HG30" s="528"/>
      <c r="HH30" s="528"/>
      <c r="HI30" s="528"/>
      <c r="HJ30" s="528"/>
      <c r="HK30" s="528"/>
      <c r="HL30" s="528"/>
      <c r="HM30" s="528"/>
      <c r="HN30" s="528"/>
      <c r="HO30" s="528"/>
      <c r="HP30" s="528"/>
      <c r="HQ30" s="528"/>
      <c r="HR30" s="528"/>
      <c r="HS30" s="528"/>
      <c r="HT30" s="528"/>
      <c r="HU30" s="528"/>
      <c r="HV30" s="528"/>
      <c r="HW30" s="528"/>
      <c r="HX30" s="528"/>
      <c r="HY30" s="528"/>
      <c r="HZ30" s="528"/>
      <c r="IA30" s="528"/>
      <c r="IB30" s="528"/>
      <c r="IC30" s="528"/>
      <c r="ID30" s="528"/>
      <c r="IE30" s="528"/>
      <c r="IF30" s="528"/>
      <c r="IG30" s="528"/>
      <c r="IH30" s="528"/>
      <c r="II30" s="528"/>
      <c r="IJ30" s="528"/>
      <c r="IK30" s="528"/>
      <c r="IL30" s="528"/>
      <c r="IM30" s="528"/>
      <c r="IN30" s="528"/>
      <c r="IO30" s="528"/>
      <c r="IP30" s="528"/>
      <c r="IQ30" s="528"/>
      <c r="IR30" s="528"/>
      <c r="IS30" s="528"/>
      <c r="IT30" s="528"/>
      <c r="IU30" s="528"/>
      <c r="IV30" s="528"/>
      <c r="IW30" s="528"/>
      <c r="IX30" s="528"/>
      <c r="IY30" s="528"/>
      <c r="IZ30" s="528"/>
      <c r="JA30" s="528"/>
      <c r="JB30" s="528"/>
      <c r="JC30" s="528"/>
      <c r="JD30" s="528"/>
      <c r="JE30" s="528"/>
      <c r="JF30" s="528"/>
      <c r="JG30" s="528"/>
      <c r="JH30" s="528"/>
      <c r="JI30" s="528"/>
      <c r="JJ30" s="528"/>
      <c r="JK30" s="528"/>
      <c r="JL30" s="528"/>
      <c r="JM30" s="528"/>
      <c r="JN30" s="528"/>
      <c r="JO30" s="528"/>
      <c r="JP30" s="528"/>
      <c r="JQ30" s="528"/>
      <c r="JR30" s="528"/>
      <c r="JS30" s="528"/>
      <c r="JT30" s="528"/>
      <c r="JU30" s="528"/>
      <c r="JV30" s="528"/>
      <c r="JW30" s="528"/>
      <c r="JX30" s="528"/>
      <c r="JY30" s="528"/>
      <c r="JZ30" s="528"/>
      <c r="KA30" s="528"/>
      <c r="KB30" s="528"/>
      <c r="KC30" s="528"/>
      <c r="KD30" s="528"/>
      <c r="KE30" s="528"/>
      <c r="KF30" s="528"/>
      <c r="KG30" s="528"/>
      <c r="KH30" s="528"/>
      <c r="KI30" s="528"/>
      <c r="KJ30" s="528"/>
      <c r="KK30" s="528"/>
      <c r="KL30" s="528"/>
      <c r="KM30" s="528"/>
      <c r="KN30" s="528"/>
      <c r="KO30" s="528"/>
      <c r="KP30" s="528"/>
      <c r="KQ30" s="528"/>
      <c r="KR30" s="528"/>
      <c r="KS30" s="528"/>
      <c r="KT30" s="528"/>
      <c r="KU30" s="528"/>
      <c r="KV30" s="528"/>
      <c r="KW30" s="528"/>
      <c r="KX30" s="528"/>
      <c r="KY30" s="528"/>
      <c r="KZ30" s="528"/>
      <c r="LA30" s="528"/>
      <c r="LB30" s="528"/>
      <c r="LC30" s="528"/>
      <c r="LD30" s="528"/>
      <c r="LE30" s="528"/>
      <c r="LF30" s="528"/>
      <c r="LG30" s="528"/>
      <c r="LH30" s="528"/>
      <c r="LI30" s="528"/>
      <c r="LJ30" s="528"/>
      <c r="LK30" s="528"/>
      <c r="LL30" s="528"/>
      <c r="LM30" s="528"/>
      <c r="LN30" s="528"/>
      <c r="LO30" s="528"/>
      <c r="LP30" s="528"/>
      <c r="LQ30" s="528"/>
      <c r="LR30" s="528"/>
      <c r="LS30" s="528"/>
      <c r="LT30" s="528"/>
      <c r="LU30" s="528"/>
      <c r="LV30" s="528"/>
      <c r="LW30" s="528"/>
      <c r="LX30" s="528"/>
      <c r="LY30" s="528"/>
      <c r="LZ30" s="528"/>
      <c r="MA30" s="528"/>
      <c r="MB30" s="528"/>
      <c r="MC30" s="528"/>
      <c r="MD30" s="528"/>
      <c r="ME30" s="528"/>
      <c r="MF30" s="528"/>
      <c r="MG30" s="528"/>
      <c r="MH30" s="528"/>
      <c r="MI30" s="528"/>
      <c r="MJ30" s="528"/>
      <c r="MK30" s="528"/>
      <c r="ML30" s="528"/>
      <c r="MM30" s="528"/>
      <c r="MN30" s="528"/>
      <c r="MO30" s="528"/>
      <c r="MP30" s="528"/>
      <c r="MQ30" s="528"/>
      <c r="MR30" s="528"/>
      <c r="MS30" s="528"/>
      <c r="MT30" s="528"/>
      <c r="MU30" s="528"/>
      <c r="MV30" s="528"/>
      <c r="MW30" s="528"/>
      <c r="MX30" s="528"/>
      <c r="MY30" s="528"/>
      <c r="MZ30" s="528"/>
      <c r="NA30" s="528"/>
      <c r="NB30" s="528"/>
      <c r="NC30" s="528"/>
      <c r="ND30" s="528"/>
      <c r="NE30" s="528"/>
      <c r="NF30" s="528"/>
      <c r="NG30" s="528"/>
      <c r="NH30" s="528"/>
      <c r="NI30" s="528"/>
      <c r="NJ30" s="528"/>
      <c r="NK30" s="528"/>
      <c r="NL30" s="528"/>
      <c r="NM30" s="528"/>
      <c r="NN30" s="528"/>
      <c r="NO30" s="528"/>
      <c r="NP30" s="528"/>
      <c r="NQ30" s="528"/>
      <c r="NR30" s="528"/>
      <c r="NS30" s="528"/>
      <c r="NT30" s="528"/>
      <c r="NU30" s="528"/>
      <c r="NV30" s="528"/>
      <c r="NW30" s="528"/>
      <c r="NX30" s="528"/>
      <c r="NY30" s="528"/>
      <c r="NZ30" s="528"/>
      <c r="OA30" s="528"/>
      <c r="OB30" s="528"/>
      <c r="OC30" s="528"/>
      <c r="OD30" s="528"/>
      <c r="OE30" s="528"/>
      <c r="OF30" s="528"/>
      <c r="OG30" s="528"/>
      <c r="OH30" s="528"/>
      <c r="OI30" s="528"/>
      <c r="OJ30" s="528"/>
      <c r="OK30" s="528"/>
      <c r="OL30" s="528"/>
      <c r="OM30" s="528"/>
      <c r="ON30" s="528"/>
      <c r="OO30" s="528"/>
      <c r="OP30" s="528"/>
      <c r="OQ30" s="528"/>
      <c r="OR30" s="528"/>
      <c r="OS30" s="528"/>
      <c r="OT30" s="528"/>
      <c r="OU30" s="528"/>
      <c r="OV30" s="528"/>
      <c r="OW30" s="528"/>
      <c r="OX30" s="528"/>
      <c r="OY30" s="528"/>
      <c r="OZ30" s="528"/>
      <c r="PA30" s="528"/>
      <c r="PB30" s="528"/>
      <c r="PC30" s="528"/>
      <c r="PD30" s="528"/>
      <c r="PE30" s="528"/>
      <c r="PF30" s="528"/>
      <c r="PG30" s="528"/>
      <c r="PH30" s="528"/>
      <c r="PI30" s="528"/>
      <c r="PJ30" s="528"/>
      <c r="PK30" s="528"/>
      <c r="PL30" s="528"/>
      <c r="PM30" s="528"/>
      <c r="PN30" s="528"/>
      <c r="PO30" s="528"/>
      <c r="PP30" s="528"/>
      <c r="PQ30" s="528"/>
      <c r="PR30" s="528"/>
      <c r="PS30" s="528"/>
      <c r="PT30" s="528"/>
      <c r="PU30" s="528"/>
      <c r="PV30" s="528"/>
      <c r="PW30" s="528"/>
      <c r="PX30" s="528"/>
      <c r="PY30" s="528"/>
      <c r="PZ30" s="528"/>
      <c r="QA30" s="528"/>
      <c r="QB30" s="528"/>
      <c r="QC30" s="528"/>
      <c r="QD30" s="528"/>
      <c r="QE30" s="528"/>
      <c r="QF30" s="528"/>
      <c r="QG30" s="528"/>
      <c r="QH30" s="528"/>
      <c r="QI30" s="528"/>
      <c r="QJ30" s="528"/>
      <c r="QK30" s="528"/>
      <c r="QL30" s="528"/>
      <c r="QM30" s="528"/>
      <c r="QN30" s="528"/>
      <c r="QO30" s="528"/>
      <c r="QP30" s="528"/>
      <c r="QQ30" s="528"/>
      <c r="QR30" s="528"/>
      <c r="QS30" s="528"/>
      <c r="QT30" s="528"/>
      <c r="QU30" s="528"/>
      <c r="QV30" s="528"/>
      <c r="QW30" s="528"/>
      <c r="QX30" s="528"/>
      <c r="QY30" s="528"/>
      <c r="QZ30" s="528"/>
      <c r="RA30" s="528"/>
      <c r="RB30" s="528"/>
      <c r="RC30" s="528"/>
      <c r="RD30" s="528"/>
      <c r="RE30" s="528"/>
      <c r="RF30" s="528"/>
      <c r="RG30" s="528"/>
      <c r="RH30" s="528"/>
      <c r="RI30" s="528"/>
      <c r="RJ30" s="528"/>
      <c r="RK30" s="528"/>
      <c r="RL30" s="528"/>
      <c r="RM30" s="528"/>
      <c r="RN30" s="528"/>
      <c r="RO30" s="528"/>
      <c r="RP30" s="528"/>
      <c r="RQ30" s="528"/>
      <c r="RR30" s="528"/>
      <c r="RS30" s="528"/>
      <c r="RT30" s="528"/>
      <c r="RU30" s="528"/>
      <c r="RV30" s="528"/>
      <c r="RW30" s="528"/>
      <c r="RX30" s="528"/>
    </row>
    <row r="31" spans="1:492" s="529" customFormat="1" ht="20.149999999999999" customHeight="1" thickBot="1">
      <c r="A31" s="546" t="s">
        <v>463</v>
      </c>
      <c r="B31" s="571" t="s">
        <v>464</v>
      </c>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57"/>
      <c r="AN31" s="527"/>
      <c r="AO31" s="527"/>
      <c r="AP31" s="527"/>
      <c r="AQ31" s="558"/>
      <c r="AR31" s="527"/>
      <c r="AS31" s="527"/>
      <c r="AT31" s="527"/>
      <c r="AU31" s="527"/>
      <c r="AV31" s="522"/>
      <c r="AW31" s="527"/>
      <c r="AX31" s="527"/>
      <c r="AY31" s="527"/>
      <c r="AZ31" s="527"/>
      <c r="BA31" s="533"/>
      <c r="BB31" s="557"/>
      <c r="BC31" s="527"/>
      <c r="BD31" s="527"/>
      <c r="BE31" s="527"/>
      <c r="BF31" s="558"/>
      <c r="BG31" s="527"/>
      <c r="BH31" s="527"/>
      <c r="BI31" s="527"/>
      <c r="BJ31" s="527"/>
      <c r="BK31" s="558"/>
      <c r="BL31" s="527"/>
      <c r="BM31" s="758">
        <v>-2.2000000000000002</v>
      </c>
      <c r="BN31" s="758">
        <f>-7.9-BM31-BL31</f>
        <v>-5.7</v>
      </c>
      <c r="BO31" s="527">
        <f>-5.1-BN31-BM31</f>
        <v>2.8000000000000007</v>
      </c>
      <c r="BP31" s="577">
        <f t="shared" si="38"/>
        <v>-5.0999999999999996</v>
      </c>
      <c r="BQ31" s="758">
        <v>-1.5</v>
      </c>
      <c r="BR31" s="758">
        <v>0.8</v>
      </c>
      <c r="BS31" s="758">
        <v>-1.2999999999999998</v>
      </c>
      <c r="BT31" s="758">
        <v>-3.1</v>
      </c>
      <c r="BU31" s="577">
        <f t="shared" si="39"/>
        <v>-5.0999999999999996</v>
      </c>
      <c r="BV31" s="758"/>
      <c r="BW31" s="758"/>
      <c r="BX31" s="758"/>
      <c r="BY31" s="758"/>
      <c r="BZ31" s="577">
        <f t="shared" si="40"/>
        <v>0</v>
      </c>
      <c r="CA31" s="528"/>
      <c r="CB31" s="528"/>
      <c r="CC31" s="528"/>
      <c r="CD31" s="528"/>
      <c r="CE31" s="528"/>
      <c r="CF31" s="528"/>
      <c r="CG31" s="528"/>
      <c r="CH31" s="528"/>
      <c r="CI31" s="528"/>
      <c r="CJ31" s="528"/>
      <c r="CK31" s="528"/>
      <c r="CL31" s="528"/>
      <c r="CM31" s="528"/>
      <c r="CN31" s="528"/>
      <c r="CO31" s="528"/>
      <c r="CP31" s="528"/>
      <c r="CQ31" s="528"/>
      <c r="CR31" s="528"/>
      <c r="CS31" s="528"/>
      <c r="CT31" s="528"/>
      <c r="CU31" s="528"/>
      <c r="CV31" s="528"/>
      <c r="CW31" s="528"/>
      <c r="CX31" s="528"/>
      <c r="CY31" s="528"/>
      <c r="CZ31" s="528"/>
      <c r="DA31" s="528"/>
      <c r="DB31" s="528"/>
      <c r="DC31" s="528"/>
      <c r="DD31" s="528"/>
      <c r="DE31" s="528"/>
      <c r="DF31" s="528"/>
      <c r="DG31" s="528"/>
      <c r="DH31" s="528"/>
      <c r="DI31" s="528"/>
      <c r="DJ31" s="528"/>
      <c r="DK31" s="528"/>
      <c r="DL31" s="528"/>
      <c r="DM31" s="528"/>
      <c r="DN31" s="528"/>
      <c r="DO31" s="528"/>
      <c r="DP31" s="528"/>
      <c r="DQ31" s="528"/>
      <c r="DR31" s="528"/>
      <c r="DS31" s="528"/>
      <c r="DT31" s="528"/>
      <c r="DU31" s="528"/>
      <c r="DV31" s="528"/>
      <c r="DW31" s="528"/>
      <c r="DX31" s="528"/>
      <c r="DY31" s="528"/>
      <c r="DZ31" s="528"/>
      <c r="EA31" s="528"/>
      <c r="EB31" s="528"/>
      <c r="EC31" s="528"/>
      <c r="ED31" s="528"/>
      <c r="EE31" s="528"/>
      <c r="EF31" s="528"/>
      <c r="EG31" s="528"/>
      <c r="EH31" s="528"/>
      <c r="EI31" s="528"/>
      <c r="EJ31" s="528"/>
      <c r="EK31" s="528"/>
      <c r="EL31" s="528"/>
      <c r="EM31" s="528"/>
      <c r="EN31" s="528"/>
      <c r="EO31" s="528"/>
      <c r="EP31" s="528"/>
      <c r="EQ31" s="528"/>
      <c r="ER31" s="528"/>
      <c r="ES31" s="528"/>
      <c r="ET31" s="528"/>
      <c r="EU31" s="528"/>
      <c r="EV31" s="528"/>
      <c r="EW31" s="528"/>
      <c r="EX31" s="528"/>
      <c r="EY31" s="528"/>
      <c r="EZ31" s="528"/>
      <c r="FA31" s="528"/>
      <c r="FB31" s="528"/>
      <c r="FC31" s="528"/>
      <c r="FD31" s="528"/>
      <c r="FE31" s="528"/>
      <c r="FF31" s="528"/>
      <c r="FG31" s="528"/>
      <c r="FH31" s="528"/>
      <c r="FI31" s="528"/>
      <c r="FJ31" s="528"/>
      <c r="FK31" s="528"/>
      <c r="FL31" s="528"/>
      <c r="FM31" s="528"/>
      <c r="FN31" s="528"/>
      <c r="FO31" s="528"/>
      <c r="FP31" s="528"/>
      <c r="FQ31" s="528"/>
      <c r="FR31" s="528"/>
      <c r="FS31" s="528"/>
      <c r="FT31" s="528"/>
      <c r="FU31" s="528"/>
      <c r="FV31" s="528"/>
      <c r="FW31" s="528"/>
      <c r="FX31" s="528"/>
      <c r="FY31" s="528"/>
      <c r="FZ31" s="528"/>
      <c r="GA31" s="528"/>
      <c r="GB31" s="528"/>
      <c r="GC31" s="528"/>
      <c r="GD31" s="528"/>
      <c r="GE31" s="528"/>
      <c r="GF31" s="528"/>
      <c r="GG31" s="528"/>
      <c r="GH31" s="528"/>
      <c r="GI31" s="528"/>
      <c r="GJ31" s="528"/>
      <c r="GK31" s="528"/>
      <c r="GL31" s="528"/>
      <c r="GM31" s="528"/>
      <c r="GN31" s="528"/>
      <c r="GO31" s="528"/>
      <c r="GP31" s="528"/>
      <c r="GQ31" s="528"/>
      <c r="GR31" s="528"/>
      <c r="GS31" s="528"/>
      <c r="GT31" s="528"/>
      <c r="GU31" s="528"/>
      <c r="GV31" s="528"/>
      <c r="GW31" s="528"/>
      <c r="GX31" s="528"/>
      <c r="GY31" s="528"/>
      <c r="GZ31" s="528"/>
      <c r="HA31" s="528"/>
      <c r="HB31" s="528"/>
      <c r="HC31" s="528"/>
      <c r="HD31" s="528"/>
      <c r="HE31" s="528"/>
      <c r="HF31" s="528"/>
      <c r="HG31" s="528"/>
      <c r="HH31" s="528"/>
      <c r="HI31" s="528"/>
      <c r="HJ31" s="528"/>
      <c r="HK31" s="528"/>
      <c r="HL31" s="528"/>
      <c r="HM31" s="528"/>
      <c r="HN31" s="528"/>
      <c r="HO31" s="528"/>
      <c r="HP31" s="528"/>
      <c r="HQ31" s="528"/>
      <c r="HR31" s="528"/>
      <c r="HS31" s="528"/>
      <c r="HT31" s="528"/>
      <c r="HU31" s="528"/>
      <c r="HV31" s="528"/>
      <c r="HW31" s="528"/>
      <c r="HX31" s="528"/>
      <c r="HY31" s="528"/>
      <c r="HZ31" s="528"/>
      <c r="IA31" s="528"/>
      <c r="IB31" s="528"/>
      <c r="IC31" s="528"/>
      <c r="ID31" s="528"/>
      <c r="IE31" s="528"/>
      <c r="IF31" s="528"/>
      <c r="IG31" s="528"/>
      <c r="IH31" s="528"/>
      <c r="II31" s="528"/>
      <c r="IJ31" s="528"/>
      <c r="IK31" s="528"/>
      <c r="IL31" s="528"/>
      <c r="IM31" s="528"/>
      <c r="IN31" s="528"/>
      <c r="IO31" s="528"/>
      <c r="IP31" s="528"/>
      <c r="IQ31" s="528"/>
      <c r="IR31" s="528"/>
      <c r="IS31" s="528"/>
      <c r="IT31" s="528"/>
      <c r="IU31" s="528"/>
      <c r="IV31" s="528"/>
      <c r="IW31" s="528"/>
      <c r="IX31" s="528"/>
      <c r="IY31" s="528"/>
      <c r="IZ31" s="528"/>
      <c r="JA31" s="528"/>
      <c r="JB31" s="528"/>
      <c r="JC31" s="528"/>
      <c r="JD31" s="528"/>
      <c r="JE31" s="528"/>
      <c r="JF31" s="528"/>
      <c r="JG31" s="528"/>
      <c r="JH31" s="528"/>
      <c r="JI31" s="528"/>
      <c r="JJ31" s="528"/>
      <c r="JK31" s="528"/>
      <c r="JL31" s="528"/>
      <c r="JM31" s="528"/>
      <c r="JN31" s="528"/>
      <c r="JO31" s="528"/>
      <c r="JP31" s="528"/>
      <c r="JQ31" s="528"/>
      <c r="JR31" s="528"/>
      <c r="JS31" s="528"/>
      <c r="JT31" s="528"/>
      <c r="JU31" s="528"/>
      <c r="JV31" s="528"/>
      <c r="JW31" s="528"/>
      <c r="JX31" s="528"/>
      <c r="JY31" s="528"/>
      <c r="JZ31" s="528"/>
      <c r="KA31" s="528"/>
      <c r="KB31" s="528"/>
      <c r="KC31" s="528"/>
      <c r="KD31" s="528"/>
      <c r="KE31" s="528"/>
      <c r="KF31" s="528"/>
      <c r="KG31" s="528"/>
      <c r="KH31" s="528"/>
      <c r="KI31" s="528"/>
      <c r="KJ31" s="528"/>
      <c r="KK31" s="528"/>
      <c r="KL31" s="528"/>
      <c r="KM31" s="528"/>
      <c r="KN31" s="528"/>
      <c r="KO31" s="528"/>
      <c r="KP31" s="528"/>
      <c r="KQ31" s="528"/>
      <c r="KR31" s="528"/>
      <c r="KS31" s="528"/>
      <c r="KT31" s="528"/>
      <c r="KU31" s="528"/>
      <c r="KV31" s="528"/>
      <c r="KW31" s="528"/>
      <c r="KX31" s="528"/>
      <c r="KY31" s="528"/>
      <c r="KZ31" s="528"/>
      <c r="LA31" s="528"/>
      <c r="LB31" s="528"/>
      <c r="LC31" s="528"/>
      <c r="LD31" s="528"/>
      <c r="LE31" s="528"/>
      <c r="LF31" s="528"/>
      <c r="LG31" s="528"/>
      <c r="LH31" s="528"/>
      <c r="LI31" s="528"/>
      <c r="LJ31" s="528"/>
      <c r="LK31" s="528"/>
      <c r="LL31" s="528"/>
      <c r="LM31" s="528"/>
      <c r="LN31" s="528"/>
      <c r="LO31" s="528"/>
      <c r="LP31" s="528"/>
      <c r="LQ31" s="528"/>
      <c r="LR31" s="528"/>
      <c r="LS31" s="528"/>
      <c r="LT31" s="528"/>
      <c r="LU31" s="528"/>
      <c r="LV31" s="528"/>
      <c r="LW31" s="528"/>
      <c r="LX31" s="528"/>
      <c r="LY31" s="528"/>
      <c r="LZ31" s="528"/>
      <c r="MA31" s="528"/>
      <c r="MB31" s="528"/>
      <c r="MC31" s="528"/>
      <c r="MD31" s="528"/>
      <c r="ME31" s="528"/>
      <c r="MF31" s="528"/>
      <c r="MG31" s="528"/>
      <c r="MH31" s="528"/>
      <c r="MI31" s="528"/>
      <c r="MJ31" s="528"/>
      <c r="MK31" s="528"/>
      <c r="ML31" s="528"/>
      <c r="MM31" s="528"/>
      <c r="MN31" s="528"/>
      <c r="MO31" s="528"/>
      <c r="MP31" s="528"/>
      <c r="MQ31" s="528"/>
      <c r="MR31" s="528"/>
      <c r="MS31" s="528"/>
      <c r="MT31" s="528"/>
      <c r="MU31" s="528"/>
      <c r="MV31" s="528"/>
      <c r="MW31" s="528"/>
      <c r="MX31" s="528"/>
      <c r="MY31" s="528"/>
      <c r="MZ31" s="528"/>
      <c r="NA31" s="528"/>
      <c r="NB31" s="528"/>
      <c r="NC31" s="528"/>
      <c r="ND31" s="528"/>
      <c r="NE31" s="528"/>
      <c r="NF31" s="528"/>
      <c r="NG31" s="528"/>
      <c r="NH31" s="528"/>
      <c r="NI31" s="528"/>
      <c r="NJ31" s="528"/>
      <c r="NK31" s="528"/>
      <c r="NL31" s="528"/>
      <c r="NM31" s="528"/>
      <c r="NN31" s="528"/>
      <c r="NO31" s="528"/>
      <c r="NP31" s="528"/>
      <c r="NQ31" s="528"/>
      <c r="NR31" s="528"/>
      <c r="NS31" s="528"/>
      <c r="NT31" s="528"/>
      <c r="NU31" s="528"/>
      <c r="NV31" s="528"/>
      <c r="NW31" s="528"/>
      <c r="NX31" s="528"/>
      <c r="NY31" s="528"/>
      <c r="NZ31" s="528"/>
      <c r="OA31" s="528"/>
      <c r="OB31" s="528"/>
      <c r="OC31" s="528"/>
      <c r="OD31" s="528"/>
      <c r="OE31" s="528"/>
      <c r="OF31" s="528"/>
      <c r="OG31" s="528"/>
      <c r="OH31" s="528"/>
      <c r="OI31" s="528"/>
      <c r="OJ31" s="528"/>
      <c r="OK31" s="528"/>
      <c r="OL31" s="528"/>
      <c r="OM31" s="528"/>
      <c r="ON31" s="528"/>
      <c r="OO31" s="528"/>
      <c r="OP31" s="528"/>
      <c r="OQ31" s="528"/>
      <c r="OR31" s="528"/>
      <c r="OS31" s="528"/>
      <c r="OT31" s="528"/>
      <c r="OU31" s="528"/>
      <c r="OV31" s="528"/>
      <c r="OW31" s="528"/>
      <c r="OX31" s="528"/>
      <c r="OY31" s="528"/>
      <c r="OZ31" s="528"/>
      <c r="PA31" s="528"/>
      <c r="PB31" s="528"/>
      <c r="PC31" s="528"/>
      <c r="PD31" s="528"/>
      <c r="PE31" s="528"/>
      <c r="PF31" s="528"/>
      <c r="PG31" s="528"/>
      <c r="PH31" s="528"/>
      <c r="PI31" s="528"/>
      <c r="PJ31" s="528"/>
      <c r="PK31" s="528"/>
      <c r="PL31" s="528"/>
      <c r="PM31" s="528"/>
      <c r="PN31" s="528"/>
      <c r="PO31" s="528"/>
      <c r="PP31" s="528"/>
      <c r="PQ31" s="528"/>
      <c r="PR31" s="528"/>
      <c r="PS31" s="528"/>
      <c r="PT31" s="528"/>
      <c r="PU31" s="528"/>
      <c r="PV31" s="528"/>
      <c r="PW31" s="528"/>
      <c r="PX31" s="528"/>
      <c r="PY31" s="528"/>
      <c r="PZ31" s="528"/>
      <c r="QA31" s="528"/>
      <c r="QB31" s="528"/>
      <c r="QC31" s="528"/>
      <c r="QD31" s="528"/>
      <c r="QE31" s="528"/>
      <c r="QF31" s="528"/>
      <c r="QG31" s="528"/>
      <c r="QH31" s="528"/>
      <c r="QI31" s="528"/>
      <c r="QJ31" s="528"/>
      <c r="QK31" s="528"/>
      <c r="QL31" s="528"/>
      <c r="QM31" s="528"/>
      <c r="QN31" s="528"/>
      <c r="QO31" s="528"/>
      <c r="QP31" s="528"/>
      <c r="QQ31" s="528"/>
      <c r="QR31" s="528"/>
      <c r="QS31" s="528"/>
      <c r="QT31" s="528"/>
      <c r="QU31" s="528"/>
      <c r="QV31" s="528"/>
      <c r="QW31" s="528"/>
      <c r="QX31" s="528"/>
      <c r="QY31" s="528"/>
      <c r="QZ31" s="528"/>
      <c r="RA31" s="528"/>
      <c r="RB31" s="528"/>
      <c r="RC31" s="528"/>
      <c r="RD31" s="528"/>
      <c r="RE31" s="528"/>
      <c r="RF31" s="528"/>
      <c r="RG31" s="528"/>
      <c r="RH31" s="528"/>
      <c r="RI31" s="528"/>
      <c r="RJ31" s="528"/>
      <c r="RK31" s="528"/>
      <c r="RL31" s="528"/>
      <c r="RM31" s="528"/>
      <c r="RN31" s="528"/>
      <c r="RO31" s="528"/>
      <c r="RP31" s="528"/>
      <c r="RQ31" s="528"/>
      <c r="RR31" s="528"/>
      <c r="RS31" s="528"/>
      <c r="RT31" s="528"/>
      <c r="RU31" s="528"/>
      <c r="RV31" s="528"/>
      <c r="RW31" s="528"/>
      <c r="RX31" s="528"/>
    </row>
    <row r="32" spans="1:492" s="65" customFormat="1" ht="31.5" thickBot="1">
      <c r="A32" s="547" t="s">
        <v>477</v>
      </c>
      <c r="B32" s="572" t="s">
        <v>478</v>
      </c>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560">
        <f>AM33+AM34</f>
        <v>174.39999999999998</v>
      </c>
      <c r="AN32" s="426">
        <f>AN33+AN34</f>
        <v>176.20000000000005</v>
      </c>
      <c r="AO32" s="426">
        <f>AO33+AO34</f>
        <v>282.79999999999995</v>
      </c>
      <c r="AP32" s="426">
        <f>AP33+AP34</f>
        <v>295</v>
      </c>
      <c r="AQ32" s="561">
        <f t="shared" si="37"/>
        <v>928.4</v>
      </c>
      <c r="AR32" s="426"/>
      <c r="AS32" s="426"/>
      <c r="AT32" s="426"/>
      <c r="AU32" s="426"/>
      <c r="AV32" s="427"/>
      <c r="AW32" s="426">
        <f>AW33+AW34</f>
        <v>359.9</v>
      </c>
      <c r="AX32" s="426">
        <f>AX33+AX34</f>
        <v>276.39999999999998</v>
      </c>
      <c r="AY32" s="426">
        <f>AY33+AY34</f>
        <v>318.29999999999995</v>
      </c>
      <c r="AZ32" s="426">
        <f>AZ33+AZ34</f>
        <v>277</v>
      </c>
      <c r="BA32" s="552">
        <f>SUM(AW32:AZ32)</f>
        <v>1231.5999999999999</v>
      </c>
      <c r="BB32" s="560">
        <f t="shared" ref="BB32:BK32" si="41">BB33+BB34</f>
        <v>307.39999999999998</v>
      </c>
      <c r="BC32" s="426">
        <f t="shared" si="41"/>
        <v>228.30000000000007</v>
      </c>
      <c r="BD32" s="426">
        <f t="shared" si="41"/>
        <v>251.99999999999989</v>
      </c>
      <c r="BE32" s="426">
        <f t="shared" si="41"/>
        <v>430.20000000000016</v>
      </c>
      <c r="BF32" s="561">
        <f t="shared" si="41"/>
        <v>1217.9000000000001</v>
      </c>
      <c r="BG32" s="426">
        <f t="shared" si="41"/>
        <v>335.5</v>
      </c>
      <c r="BH32" s="426">
        <f t="shared" si="41"/>
        <v>334.49999999999994</v>
      </c>
      <c r="BI32" s="426">
        <f t="shared" si="41"/>
        <v>231.8</v>
      </c>
      <c r="BJ32" s="426">
        <f>BJ33+BJ34</f>
        <v>256.99999999999994</v>
      </c>
      <c r="BK32" s="561">
        <f t="shared" si="41"/>
        <v>1158.8</v>
      </c>
      <c r="BL32" s="426">
        <f>BL33+BL34+BL35</f>
        <v>324.89999999999998</v>
      </c>
      <c r="BM32" s="759">
        <f t="shared" ref="BM32:BP32" si="42">BM33+BM34+BM35</f>
        <v>262</v>
      </c>
      <c r="BN32" s="426">
        <f t="shared" si="42"/>
        <v>225.30000000000004</v>
      </c>
      <c r="BO32" s="426">
        <f t="shared" si="42"/>
        <v>302.20000000000016</v>
      </c>
      <c r="BP32" s="561">
        <f t="shared" si="42"/>
        <v>1114.4000000000003</v>
      </c>
      <c r="BQ32" s="426">
        <f>BQ33+BQ34+BQ35+BQ36</f>
        <v>295.20000000000005</v>
      </c>
      <c r="BR32" s="426">
        <f t="shared" ref="BR32:BT32" si="43">BR33+BR34+BR35+BR36</f>
        <v>215.79999999999998</v>
      </c>
      <c r="BS32" s="426">
        <f t="shared" si="43"/>
        <v>493.50000000000011</v>
      </c>
      <c r="BT32" s="426">
        <f t="shared" si="43"/>
        <v>597.4</v>
      </c>
      <c r="BU32" s="561">
        <f>BU33+BU34+BU35+BU36</f>
        <v>1601.9</v>
      </c>
      <c r="BV32" s="426">
        <f>BV33+BV34+BV35+BV36</f>
        <v>335.6</v>
      </c>
      <c r="BW32" s="426">
        <f t="shared" ref="BW32:BY32" si="44">BW33+BW34+BW35+BW36</f>
        <v>358.1</v>
      </c>
      <c r="BX32" s="426">
        <f t="shared" si="44"/>
        <v>0</v>
      </c>
      <c r="BY32" s="426">
        <f t="shared" si="44"/>
        <v>0</v>
      </c>
      <c r="BZ32" s="561">
        <f>BZ33+BZ34+BZ35+BZ36</f>
        <v>693.7</v>
      </c>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523" customFormat="1" ht="20.149999999999999" customHeight="1">
      <c r="A33" s="549" t="s">
        <v>455</v>
      </c>
      <c r="B33" s="574" t="s">
        <v>479</v>
      </c>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c r="AE33" s="520"/>
      <c r="AF33" s="520"/>
      <c r="AG33" s="520"/>
      <c r="AH33" s="520"/>
      <c r="AI33" s="520"/>
      <c r="AJ33" s="520"/>
      <c r="AK33" s="520"/>
      <c r="AL33" s="520"/>
      <c r="AM33" s="564">
        <v>164.99999999999997</v>
      </c>
      <c r="AN33" s="521">
        <v>165.60000000000005</v>
      </c>
      <c r="AO33" s="521">
        <v>259.39999999999998</v>
      </c>
      <c r="AP33" s="521">
        <v>285.7</v>
      </c>
      <c r="AQ33" s="558">
        <f t="shared" si="37"/>
        <v>875.7</v>
      </c>
      <c r="AR33" s="521"/>
      <c r="AS33" s="521"/>
      <c r="AT33" s="521"/>
      <c r="AU33" s="521"/>
      <c r="AV33" s="522"/>
      <c r="AW33" s="521">
        <v>350.9</v>
      </c>
      <c r="AX33" s="521">
        <v>266</v>
      </c>
      <c r="AY33" s="521">
        <v>312.59999999999997</v>
      </c>
      <c r="AZ33" s="521">
        <v>258.39999999999998</v>
      </c>
      <c r="BA33" s="533">
        <f t="shared" ref="BA33" si="45">SUM(AW33:AZ33)</f>
        <v>1187.9000000000001</v>
      </c>
      <c r="BB33" s="564">
        <v>283.7</v>
      </c>
      <c r="BC33" s="521">
        <v>214.10000000000008</v>
      </c>
      <c r="BD33" s="521">
        <v>232.09999999999988</v>
      </c>
      <c r="BE33" s="521">
        <v>382.50000000000017</v>
      </c>
      <c r="BF33" s="558">
        <f>SUM(BB33:BE33)</f>
        <v>1112.4000000000001</v>
      </c>
      <c r="BG33" s="521">
        <v>295.3</v>
      </c>
      <c r="BH33" s="542">
        <v>315.59999999999997</v>
      </c>
      <c r="BI33" s="542">
        <v>205.10000000000002</v>
      </c>
      <c r="BJ33" s="521">
        <f>1049.3-SUM(BG33:BI33)</f>
        <v>233.29999999999995</v>
      </c>
      <c r="BK33" s="558">
        <f>SUM(BG33:BJ33)</f>
        <v>1049.3</v>
      </c>
      <c r="BL33" s="521">
        <v>257.89999999999998</v>
      </c>
      <c r="BM33" s="542">
        <f>497.2-BL33</f>
        <v>239.3</v>
      </c>
      <c r="BN33" s="542">
        <f>692.2-BM33-BL33</f>
        <v>195.00000000000006</v>
      </c>
      <c r="BO33" s="521">
        <f>964.2-BN33-BM33-BL33</f>
        <v>272.00000000000011</v>
      </c>
      <c r="BP33" s="558">
        <f>SUM(BL33:BO33)</f>
        <v>964.20000000000016</v>
      </c>
      <c r="BQ33" s="521">
        <v>269.60000000000002</v>
      </c>
      <c r="BR33" s="542">
        <f>467.5-BQ33</f>
        <v>197.89999999999998</v>
      </c>
      <c r="BS33" s="527">
        <f>619.2-BR33-BQ33</f>
        <v>151.70000000000005</v>
      </c>
      <c r="BT33" s="521">
        <v>173.5</v>
      </c>
      <c r="BU33" s="558">
        <f>SUM(BQ33:BT33)</f>
        <v>792.7</v>
      </c>
      <c r="BV33" s="521">
        <v>217.2</v>
      </c>
      <c r="BW33" s="542">
        <v>175.3</v>
      </c>
      <c r="BX33" s="527"/>
      <c r="BY33" s="521"/>
      <c r="BZ33" s="558">
        <f>SUM(BV33:BY33)</f>
        <v>392.5</v>
      </c>
      <c r="CA33" s="969"/>
      <c r="CB33" s="942"/>
      <c r="CC33" s="944"/>
    </row>
    <row r="34" spans="1:492" s="523" customFormat="1" ht="20.149999999999999" customHeight="1">
      <c r="A34" s="549" t="s">
        <v>457</v>
      </c>
      <c r="B34" s="574" t="s">
        <v>458</v>
      </c>
      <c r="C34" s="524"/>
      <c r="D34" s="524"/>
      <c r="E34" s="524"/>
      <c r="F34" s="524"/>
      <c r="G34" s="524"/>
      <c r="H34" s="524"/>
      <c r="I34" s="524"/>
      <c r="J34" s="524"/>
      <c r="K34" s="524"/>
      <c r="L34" s="524"/>
      <c r="M34" s="524"/>
      <c r="N34" s="524"/>
      <c r="O34" s="524"/>
      <c r="P34" s="524"/>
      <c r="Q34" s="524"/>
      <c r="R34" s="524"/>
      <c r="S34" s="524"/>
      <c r="T34" s="524"/>
      <c r="U34" s="524"/>
      <c r="V34" s="524"/>
      <c r="W34" s="524"/>
      <c r="X34" s="524"/>
      <c r="Y34" s="524"/>
      <c r="Z34" s="524"/>
      <c r="AA34" s="524"/>
      <c r="AB34" s="524"/>
      <c r="AC34" s="524"/>
      <c r="AD34" s="524"/>
      <c r="AE34" s="524"/>
      <c r="AF34" s="524"/>
      <c r="AG34" s="524"/>
      <c r="AH34" s="524"/>
      <c r="AI34" s="524"/>
      <c r="AJ34" s="524"/>
      <c r="AK34" s="524"/>
      <c r="AL34" s="524"/>
      <c r="AM34" s="565">
        <v>9.4</v>
      </c>
      <c r="AN34" s="525">
        <v>10.6</v>
      </c>
      <c r="AO34" s="525">
        <v>23.4</v>
      </c>
      <c r="AP34" s="525">
        <v>9.3000000000000043</v>
      </c>
      <c r="AQ34" s="558">
        <f t="shared" si="37"/>
        <v>52.7</v>
      </c>
      <c r="AR34" s="525"/>
      <c r="AS34" s="525"/>
      <c r="AT34" s="525"/>
      <c r="AU34" s="525"/>
      <c r="AV34" s="522"/>
      <c r="AW34" s="525">
        <v>9</v>
      </c>
      <c r="AX34" s="525">
        <v>10.399999999999999</v>
      </c>
      <c r="AY34" s="525">
        <v>5.7000000000000028</v>
      </c>
      <c r="AZ34" s="525">
        <v>18.600000000000001</v>
      </c>
      <c r="BA34" s="533">
        <f>SUM(AW34:AZ34)</f>
        <v>43.7</v>
      </c>
      <c r="BB34" s="565">
        <v>23.7</v>
      </c>
      <c r="BC34" s="525">
        <v>14.2</v>
      </c>
      <c r="BD34" s="525">
        <v>19.899999999999999</v>
      </c>
      <c r="BE34" s="525">
        <v>47.7</v>
      </c>
      <c r="BF34" s="558">
        <f>SUM(BB34:BE34)</f>
        <v>105.5</v>
      </c>
      <c r="BG34" s="525">
        <v>40.200000000000003</v>
      </c>
      <c r="BH34" s="543">
        <v>18.899999999999999</v>
      </c>
      <c r="BI34" s="543">
        <v>26.700000000000003</v>
      </c>
      <c r="BJ34" s="525">
        <f>109.5-SUM(BG34:BI34)</f>
        <v>23.699999999999989</v>
      </c>
      <c r="BK34" s="558">
        <f>SUM(BG34:BJ34)</f>
        <v>109.5</v>
      </c>
      <c r="BL34" s="525">
        <v>67</v>
      </c>
      <c r="BM34" s="543">
        <f>81.7-BL34</f>
        <v>14.700000000000003</v>
      </c>
      <c r="BN34" s="543">
        <f>97.9-BM34-BL34</f>
        <v>16.200000000000003</v>
      </c>
      <c r="BO34" s="525">
        <f>117-BN34-BM34-BL34</f>
        <v>19.099999999999994</v>
      </c>
      <c r="BP34" s="558">
        <f>SUM(BL34:BO34)</f>
        <v>117</v>
      </c>
      <c r="BQ34" s="525">
        <v>22.3</v>
      </c>
      <c r="BR34" s="543">
        <f>31.3-BQ34</f>
        <v>9</v>
      </c>
      <c r="BS34" s="527">
        <v>31.3</v>
      </c>
      <c r="BT34" s="521">
        <v>11.399999999999999</v>
      </c>
      <c r="BU34" s="558">
        <f>SUM(BQ34:BT34)</f>
        <v>74</v>
      </c>
      <c r="BV34" s="525">
        <v>26.3</v>
      </c>
      <c r="BW34" s="543">
        <v>13.599999999999998</v>
      </c>
      <c r="BX34" s="527"/>
      <c r="BY34" s="521"/>
      <c r="BZ34" s="558">
        <f>SUM(BV34:BY34)</f>
        <v>39.9</v>
      </c>
      <c r="CB34" s="942"/>
      <c r="CC34" s="944"/>
    </row>
    <row r="35" spans="1:492" s="523" customFormat="1" ht="20.149999999999999" customHeight="1">
      <c r="A35" s="549" t="s">
        <v>467</v>
      </c>
      <c r="B35" s="574" t="s">
        <v>460</v>
      </c>
      <c r="C35" s="524"/>
      <c r="D35" s="524"/>
      <c r="E35" s="524"/>
      <c r="F35" s="524"/>
      <c r="G35" s="524"/>
      <c r="H35" s="524"/>
      <c r="I35" s="524"/>
      <c r="J35" s="524"/>
      <c r="K35" s="524"/>
      <c r="L35" s="524"/>
      <c r="M35" s="524"/>
      <c r="N35" s="524"/>
      <c r="O35" s="524"/>
      <c r="P35" s="524"/>
      <c r="Q35" s="524"/>
      <c r="R35" s="524"/>
      <c r="S35" s="524"/>
      <c r="T35" s="524"/>
      <c r="U35" s="524"/>
      <c r="V35" s="524"/>
      <c r="W35" s="524"/>
      <c r="X35" s="524"/>
      <c r="Y35" s="524"/>
      <c r="Z35" s="524"/>
      <c r="AA35" s="524"/>
      <c r="AB35" s="524"/>
      <c r="AC35" s="524"/>
      <c r="AD35" s="524"/>
      <c r="AE35" s="524"/>
      <c r="AF35" s="524"/>
      <c r="AG35" s="524"/>
      <c r="AH35" s="524"/>
      <c r="AI35" s="524"/>
      <c r="AJ35" s="524"/>
      <c r="AK35" s="524"/>
      <c r="AL35" s="524"/>
      <c r="AM35" s="565"/>
      <c r="AN35" s="525"/>
      <c r="AO35" s="525"/>
      <c r="AP35" s="525"/>
      <c r="AQ35" s="558"/>
      <c r="AR35" s="525"/>
      <c r="AS35" s="525"/>
      <c r="AT35" s="525"/>
      <c r="AU35" s="525"/>
      <c r="AV35" s="522"/>
      <c r="AW35" s="525"/>
      <c r="AX35" s="525"/>
      <c r="AY35" s="525"/>
      <c r="AZ35" s="525"/>
      <c r="BA35" s="533"/>
      <c r="BB35" s="565"/>
      <c r="BC35" s="525"/>
      <c r="BD35" s="525"/>
      <c r="BE35" s="525"/>
      <c r="BF35" s="558"/>
      <c r="BG35" s="525"/>
      <c r="BH35" s="543"/>
      <c r="BI35" s="543"/>
      <c r="BJ35" s="525"/>
      <c r="BK35" s="558"/>
      <c r="BL35" s="525"/>
      <c r="BM35" s="543">
        <v>8</v>
      </c>
      <c r="BN35" s="543">
        <f>22.1-BM35-BL35</f>
        <v>14.100000000000001</v>
      </c>
      <c r="BO35" s="525">
        <f>33.2-BN35-BM35</f>
        <v>11.100000000000001</v>
      </c>
      <c r="BP35" s="558">
        <f>SUM(BL35:BO35)</f>
        <v>33.200000000000003</v>
      </c>
      <c r="BQ35" s="525">
        <v>3.3</v>
      </c>
      <c r="BR35" s="543">
        <f>12.2-BQ35</f>
        <v>8.8999999999999986</v>
      </c>
      <c r="BS35" s="527">
        <v>8.9000000000000021</v>
      </c>
      <c r="BT35" s="521">
        <v>3.5</v>
      </c>
      <c r="BU35" s="558">
        <f>SUM(BQ35:BT35)</f>
        <v>24.6</v>
      </c>
      <c r="BV35" s="525">
        <v>5.0999999999999996</v>
      </c>
      <c r="BW35" s="543">
        <v>1.4000000000000004</v>
      </c>
      <c r="BX35" s="527"/>
      <c r="BY35" s="521"/>
      <c r="BZ35" s="558">
        <f>SUM(BV35:BY35)</f>
        <v>6.5</v>
      </c>
      <c r="CB35" s="942"/>
      <c r="CC35" s="944"/>
    </row>
    <row r="36" spans="1:492" s="523" customFormat="1" ht="20.149999999999999" customHeight="1" thickBot="1">
      <c r="A36" s="546" t="s">
        <v>461</v>
      </c>
      <c r="B36" s="574" t="s">
        <v>462</v>
      </c>
      <c r="C36" s="524"/>
      <c r="D36" s="524"/>
      <c r="E36" s="524"/>
      <c r="F36" s="524"/>
      <c r="G36" s="524"/>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65"/>
      <c r="AN36" s="525"/>
      <c r="AO36" s="525"/>
      <c r="AP36" s="525"/>
      <c r="AQ36" s="558"/>
      <c r="AR36" s="525"/>
      <c r="AS36" s="525"/>
      <c r="AT36" s="525"/>
      <c r="AU36" s="525"/>
      <c r="AV36" s="522"/>
      <c r="AW36" s="525"/>
      <c r="AX36" s="525"/>
      <c r="AY36" s="525"/>
      <c r="AZ36" s="525"/>
      <c r="BA36" s="533"/>
      <c r="BB36" s="565"/>
      <c r="BC36" s="525"/>
      <c r="BD36" s="525"/>
      <c r="BE36" s="525"/>
      <c r="BF36" s="558"/>
      <c r="BG36" s="525"/>
      <c r="BH36" s="543"/>
      <c r="BI36" s="543"/>
      <c r="BJ36" s="525"/>
      <c r="BK36" s="558"/>
      <c r="BL36" s="525"/>
      <c r="BM36" s="543"/>
      <c r="BN36" s="543"/>
      <c r="BO36" s="525"/>
      <c r="BP36" s="558"/>
      <c r="BQ36" s="525"/>
      <c r="BR36" s="543"/>
      <c r="BS36" s="527">
        <v>301.60000000000002</v>
      </c>
      <c r="BT36" s="521">
        <v>409</v>
      </c>
      <c r="BU36" s="558">
        <f>SUM(BQ36:BT36)</f>
        <v>710.6</v>
      </c>
      <c r="BV36" s="525">
        <v>87</v>
      </c>
      <c r="BW36" s="543">
        <v>167.8</v>
      </c>
      <c r="BX36" s="527"/>
      <c r="BY36" s="521"/>
      <c r="BZ36" s="558">
        <f>SUM(BV36:BY36)</f>
        <v>254.8</v>
      </c>
      <c r="CA36" s="942"/>
      <c r="CC36" s="968"/>
    </row>
    <row r="37" spans="1:492" s="65" customFormat="1" ht="29.5" thickBot="1">
      <c r="A37" s="550" t="s">
        <v>480</v>
      </c>
      <c r="B37" s="575" t="s">
        <v>481</v>
      </c>
      <c r="C37" s="431"/>
      <c r="D37" s="431"/>
      <c r="E37" s="431"/>
      <c r="F37" s="431"/>
      <c r="G37" s="431"/>
      <c r="H37" s="431"/>
      <c r="I37" s="431"/>
      <c r="J37" s="431"/>
      <c r="K37" s="431"/>
      <c r="L37" s="431"/>
      <c r="M37" s="431"/>
      <c r="N37" s="431"/>
      <c r="O37" s="431"/>
      <c r="P37" s="431"/>
      <c r="Q37" s="431"/>
      <c r="R37" s="431"/>
      <c r="S37" s="431"/>
      <c r="T37" s="431"/>
      <c r="U37" s="431"/>
      <c r="V37" s="431"/>
      <c r="W37" s="431"/>
      <c r="X37" s="431"/>
      <c r="Y37" s="431"/>
      <c r="Z37" s="431"/>
      <c r="AA37" s="431"/>
      <c r="AB37" s="431"/>
      <c r="AC37" s="431"/>
      <c r="AD37" s="431"/>
      <c r="AE37" s="431"/>
      <c r="AF37" s="431"/>
      <c r="AG37" s="431"/>
      <c r="AH37" s="431"/>
      <c r="AI37" s="431"/>
      <c r="AJ37" s="431"/>
      <c r="AK37" s="431"/>
      <c r="AL37" s="431"/>
      <c r="AM37" s="566">
        <f t="shared" ref="AM37:BL37" si="46">AM32/AM5</f>
        <v>7.4342469840999181E-2</v>
      </c>
      <c r="AN37" s="432">
        <f t="shared" si="46"/>
        <v>6.7685925015365744E-2</v>
      </c>
      <c r="AO37" s="432">
        <f t="shared" si="46"/>
        <v>0.10340036563071296</v>
      </c>
      <c r="AP37" s="432">
        <f t="shared" si="46"/>
        <v>9.826782145236504E-2</v>
      </c>
      <c r="AQ37" s="567">
        <f t="shared" si="46"/>
        <v>8.6879216926661729E-2</v>
      </c>
      <c r="AR37" s="432" t="e">
        <f t="shared" si="46"/>
        <v>#DIV/0!</v>
      </c>
      <c r="AS37" s="432" t="e">
        <f t="shared" si="46"/>
        <v>#DIV/0!</v>
      </c>
      <c r="AT37" s="432" t="e">
        <f t="shared" si="46"/>
        <v>#DIV/0!</v>
      </c>
      <c r="AU37" s="432" t="e">
        <f t="shared" si="46"/>
        <v>#DIV/0!</v>
      </c>
      <c r="AV37" s="433" t="e">
        <f t="shared" si="46"/>
        <v>#DIV/0!</v>
      </c>
      <c r="AW37" s="432">
        <f t="shared" si="46"/>
        <v>0.12892248173090701</v>
      </c>
      <c r="AX37" s="432">
        <f t="shared" si="46"/>
        <v>9.4560383167978102E-2</v>
      </c>
      <c r="AY37" s="432">
        <f t="shared" si="46"/>
        <v>0.11004701977596458</v>
      </c>
      <c r="AZ37" s="432">
        <f t="shared" si="46"/>
        <v>9.0254471995047422E-2</v>
      </c>
      <c r="BA37" s="553">
        <f t="shared" si="46"/>
        <v>0.10548042582711693</v>
      </c>
      <c r="BB37" s="566">
        <f t="shared" si="46"/>
        <v>0.10791644725294014</v>
      </c>
      <c r="BC37" s="432">
        <f t="shared" si="46"/>
        <v>7.974988647081431E-2</v>
      </c>
      <c r="BD37" s="432">
        <f t="shared" si="46"/>
        <v>8.3902114200099839E-2</v>
      </c>
      <c r="BE37" s="432">
        <f t="shared" si="46"/>
        <v>0.13244258358475466</v>
      </c>
      <c r="BF37" s="567">
        <f t="shared" si="46"/>
        <v>0.10180641817619475</v>
      </c>
      <c r="BG37" s="432">
        <f t="shared" si="46"/>
        <v>0.11230501439378725</v>
      </c>
      <c r="BH37" s="432">
        <f t="shared" si="46"/>
        <v>0.10586448080513972</v>
      </c>
      <c r="BI37" s="432">
        <f t="shared" si="46"/>
        <v>7.6453708895412115E-2</v>
      </c>
      <c r="BJ37" s="432">
        <f t="shared" si="46"/>
        <v>7.8713629402756474E-2</v>
      </c>
      <c r="BK37" s="578">
        <f t="shared" si="46"/>
        <v>9.312118289938924E-2</v>
      </c>
      <c r="BL37" s="432">
        <f t="shared" si="46"/>
        <v>0.10878226805504401</v>
      </c>
      <c r="BM37" s="432">
        <f t="shared" ref="BM37:BU37" si="47">BM32/BM5</f>
        <v>8.1162293609243819E-2</v>
      </c>
      <c r="BN37" s="432">
        <f t="shared" si="47"/>
        <v>6.888012473631111E-2</v>
      </c>
      <c r="BO37" s="432">
        <f t="shared" si="47"/>
        <v>8.8115232097037602E-2</v>
      </c>
      <c r="BP37" s="578">
        <f t="shared" si="47"/>
        <v>8.628525856929381E-2</v>
      </c>
      <c r="BQ37" s="432">
        <f t="shared" si="47"/>
        <v>9.227018410277249E-2</v>
      </c>
      <c r="BR37" s="432">
        <f t="shared" si="47"/>
        <v>6.5596692808073426E-2</v>
      </c>
      <c r="BS37" s="432">
        <f t="shared" si="47"/>
        <v>0.14280753537633478</v>
      </c>
      <c r="BT37" s="432">
        <f t="shared" si="47"/>
        <v>0.16227081352709491</v>
      </c>
      <c r="BU37" s="578">
        <f t="shared" si="47"/>
        <v>0.11755942552270242</v>
      </c>
      <c r="BV37" s="432">
        <f t="shared" ref="BV37:BZ37" si="48">BV32/BV5</f>
        <v>9.8560939794419974E-2</v>
      </c>
      <c r="BW37" s="432">
        <f t="shared" si="48"/>
        <v>0.10366789219234</v>
      </c>
      <c r="BX37" s="432" t="e">
        <f t="shared" si="48"/>
        <v>#DIV/0!</v>
      </c>
      <c r="BY37" s="432" t="e">
        <f t="shared" si="48"/>
        <v>#DIV/0!</v>
      </c>
      <c r="BZ37" s="578">
        <f t="shared" si="48"/>
        <v>0.10113276864986223</v>
      </c>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c r="KG37" s="11"/>
      <c r="KH37" s="11"/>
      <c r="KI37" s="11"/>
      <c r="KJ37" s="11"/>
      <c r="KK37" s="11"/>
      <c r="KL37" s="11"/>
      <c r="KM37" s="11"/>
      <c r="KN37" s="11"/>
      <c r="KO37" s="11"/>
      <c r="KP37" s="11"/>
      <c r="KQ37" s="11"/>
      <c r="KR37" s="11"/>
      <c r="KS37" s="11"/>
      <c r="KT37" s="11"/>
      <c r="KU37" s="11"/>
      <c r="KV37" s="11"/>
      <c r="KW37" s="11"/>
      <c r="KX37" s="11"/>
      <c r="KY37" s="11"/>
      <c r="KZ37" s="11"/>
      <c r="LA37" s="11"/>
      <c r="LB37" s="11"/>
      <c r="LC37" s="11"/>
      <c r="LD37" s="11"/>
      <c r="LE37" s="11"/>
      <c r="LF37" s="11"/>
      <c r="LG37" s="11"/>
      <c r="LH37" s="11"/>
      <c r="LI37" s="11"/>
      <c r="LJ37" s="11"/>
      <c r="LK37" s="11"/>
      <c r="LL37" s="11"/>
      <c r="LM37" s="11"/>
      <c r="LN37" s="11"/>
      <c r="LO37" s="11"/>
      <c r="LP37" s="11"/>
      <c r="LQ37" s="11"/>
      <c r="LR37" s="11"/>
      <c r="LS37" s="11"/>
      <c r="LT37" s="11"/>
      <c r="LU37" s="11"/>
      <c r="LV37" s="11"/>
      <c r="LW37" s="11"/>
      <c r="LX37" s="11"/>
      <c r="LY37" s="11"/>
      <c r="LZ37" s="11"/>
      <c r="MA37" s="11"/>
      <c r="MB37" s="11"/>
      <c r="MC37" s="11"/>
      <c r="MD37" s="11"/>
      <c r="ME37" s="11"/>
      <c r="MF37" s="11"/>
      <c r="MG37" s="11"/>
      <c r="MH37" s="11"/>
      <c r="MI37" s="11"/>
      <c r="MJ37" s="11"/>
      <c r="MK37" s="11"/>
      <c r="ML37" s="11"/>
      <c r="MM37" s="11"/>
      <c r="MN37" s="11"/>
      <c r="MO37" s="11"/>
      <c r="MP37" s="11"/>
      <c r="MQ37" s="11"/>
      <c r="MR37" s="11"/>
      <c r="MS37" s="11"/>
      <c r="MT37" s="11"/>
      <c r="MU37" s="11"/>
      <c r="MV37" s="11"/>
      <c r="MW37" s="11"/>
      <c r="MX37" s="11"/>
      <c r="MY37" s="11"/>
      <c r="MZ37" s="11"/>
      <c r="NA37" s="11"/>
      <c r="NB37" s="11"/>
      <c r="NC37" s="11"/>
      <c r="ND37" s="11"/>
      <c r="NE37" s="11"/>
      <c r="NF37" s="11"/>
      <c r="NG37" s="11"/>
      <c r="NH37" s="11"/>
      <c r="NI37" s="11"/>
      <c r="NJ37" s="11"/>
      <c r="NK37" s="11"/>
      <c r="NL37" s="11"/>
      <c r="NM37" s="11"/>
      <c r="NN37" s="11"/>
      <c r="NO37" s="11"/>
      <c r="NP37" s="11"/>
      <c r="NQ37" s="11"/>
      <c r="NR37" s="11"/>
      <c r="NS37" s="11"/>
      <c r="NT37" s="11"/>
      <c r="NU37" s="11"/>
      <c r="NV37" s="11"/>
      <c r="NW37" s="11"/>
      <c r="NX37" s="11"/>
      <c r="NY37" s="11"/>
      <c r="NZ37" s="11"/>
      <c r="OA37" s="11"/>
      <c r="OB37" s="11"/>
      <c r="OC37" s="11"/>
      <c r="OD37" s="11"/>
      <c r="OE37" s="11"/>
      <c r="OF37" s="11"/>
      <c r="OG37" s="11"/>
      <c r="OH37" s="11"/>
      <c r="OI37" s="11"/>
      <c r="OJ37" s="11"/>
      <c r="OK37" s="11"/>
      <c r="OL37" s="11"/>
      <c r="OM37" s="11"/>
      <c r="ON37" s="11"/>
      <c r="OO37" s="11"/>
      <c r="OP37" s="11"/>
      <c r="OQ37" s="11"/>
      <c r="OR37" s="11"/>
      <c r="OS37" s="11"/>
      <c r="OT37" s="11"/>
      <c r="OU37" s="11"/>
      <c r="OV37" s="11"/>
      <c r="OW37" s="11"/>
      <c r="OX37" s="11"/>
      <c r="OY37" s="11"/>
      <c r="OZ37" s="11"/>
      <c r="PA37" s="11"/>
      <c r="PB37" s="11"/>
      <c r="PC37" s="11"/>
      <c r="PD37" s="11"/>
      <c r="PE37" s="11"/>
      <c r="PF37" s="11"/>
      <c r="PG37" s="11"/>
      <c r="PH37" s="11"/>
      <c r="PI37" s="11"/>
      <c r="PJ37" s="11"/>
      <c r="PK37" s="11"/>
      <c r="PL37" s="11"/>
      <c r="PM37" s="11"/>
      <c r="PN37" s="11"/>
      <c r="PO37" s="11"/>
      <c r="PP37" s="11"/>
      <c r="PQ37" s="11"/>
      <c r="PR37" s="11"/>
      <c r="PS37" s="11"/>
      <c r="PT37" s="11"/>
      <c r="PU37" s="11"/>
      <c r="PV37" s="11"/>
      <c r="PW37" s="11"/>
      <c r="PX37" s="11"/>
      <c r="PY37" s="11"/>
      <c r="PZ37" s="11"/>
      <c r="QA37" s="11"/>
      <c r="QB37" s="11"/>
      <c r="QC37" s="11"/>
      <c r="QD37" s="11"/>
      <c r="QE37" s="11"/>
      <c r="QF37" s="11"/>
      <c r="QG37" s="11"/>
      <c r="QH37" s="11"/>
      <c r="QI37" s="11"/>
      <c r="QJ37" s="11"/>
      <c r="QK37" s="11"/>
      <c r="QL37" s="11"/>
      <c r="QM37" s="11"/>
      <c r="QN37" s="11"/>
      <c r="QO37" s="11"/>
      <c r="QP37" s="11"/>
      <c r="QQ37" s="11"/>
      <c r="QR37" s="11"/>
      <c r="QS37" s="11"/>
      <c r="QT37" s="11"/>
      <c r="QU37" s="11"/>
      <c r="QV37" s="11"/>
      <c r="QW37" s="11"/>
      <c r="QX37" s="11"/>
      <c r="QY37" s="11"/>
      <c r="QZ37" s="11"/>
      <c r="RA37" s="11"/>
      <c r="RB37" s="11"/>
      <c r="RC37" s="11"/>
      <c r="RD37" s="11"/>
      <c r="RE37" s="11"/>
      <c r="RF37" s="11"/>
      <c r="RG37" s="11"/>
      <c r="RH37" s="11"/>
      <c r="RI37" s="11"/>
      <c r="RJ37" s="11"/>
      <c r="RK37" s="11"/>
      <c r="RL37" s="11"/>
      <c r="RM37" s="11"/>
      <c r="RN37" s="11"/>
      <c r="RO37" s="11"/>
      <c r="RP37" s="11"/>
      <c r="RQ37" s="11"/>
      <c r="RR37" s="11"/>
      <c r="RS37" s="11"/>
      <c r="RT37" s="11"/>
      <c r="RU37" s="11"/>
      <c r="RV37" s="11"/>
      <c r="RW37" s="11"/>
      <c r="RX37" s="11"/>
    </row>
    <row r="38" spans="1:492" s="165" customFormat="1" ht="30" customHeight="1">
      <c r="A38" s="946"/>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947"/>
      <c r="AN38" s="947"/>
      <c r="AO38" s="947"/>
      <c r="AP38" s="947"/>
      <c r="AQ38" s="947"/>
      <c r="AR38" s="948"/>
      <c r="AS38" s="948"/>
      <c r="AT38" s="948"/>
      <c r="AU38" s="948"/>
      <c r="AV38" s="948"/>
      <c r="AW38" s="947"/>
      <c r="AX38" s="947"/>
      <c r="AY38" s="947"/>
      <c r="AZ38" s="947"/>
      <c r="BA38" s="168"/>
      <c r="BB38" s="168"/>
      <c r="BC38" s="168"/>
      <c r="BD38" s="168"/>
      <c r="BE38" s="168"/>
      <c r="BF38" s="168"/>
      <c r="BG38" s="168"/>
      <c r="BH38" s="168"/>
      <c r="BI38" s="168"/>
      <c r="BJ38" s="168"/>
      <c r="BK38" s="168"/>
      <c r="BL38" s="168"/>
      <c r="BM38" s="867"/>
      <c r="BN38" s="168"/>
      <c r="BO38" s="168"/>
      <c r="BP38" s="168"/>
      <c r="BQ38" s="168"/>
      <c r="BR38" s="867"/>
      <c r="BS38" s="168"/>
      <c r="BT38" s="168"/>
      <c r="BU38" s="168"/>
      <c r="BV38" s="168"/>
      <c r="BW38" s="867"/>
      <c r="BX38" s="168"/>
      <c r="BY38" s="168"/>
      <c r="BZ38" s="168"/>
      <c r="CA38" s="945"/>
      <c r="CB38" s="945"/>
      <c r="CC38" s="945"/>
      <c r="CD38" s="945"/>
      <c r="CE38" s="945"/>
      <c r="CF38" s="945"/>
      <c r="CG38" s="945"/>
      <c r="CH38" s="945"/>
      <c r="CI38" s="945"/>
      <c r="CJ38" s="945"/>
      <c r="CK38" s="945"/>
      <c r="CL38" s="945"/>
      <c r="CM38" s="945"/>
      <c r="CN38" s="945"/>
      <c r="CO38" s="945"/>
      <c r="CP38" s="945"/>
      <c r="CQ38" s="945"/>
      <c r="CR38" s="945"/>
      <c r="CS38" s="945"/>
      <c r="CT38" s="945"/>
      <c r="CU38" s="945"/>
      <c r="CV38" s="945"/>
      <c r="CW38" s="945"/>
      <c r="CX38" s="945"/>
      <c r="CY38" s="945"/>
      <c r="CZ38" s="945"/>
      <c r="DA38" s="945"/>
      <c r="DB38" s="945"/>
      <c r="DC38" s="945"/>
      <c r="DD38" s="945"/>
      <c r="DE38" s="945"/>
      <c r="DF38" s="945"/>
      <c r="DG38" s="945"/>
      <c r="DH38" s="945"/>
      <c r="DI38" s="945"/>
      <c r="DJ38" s="945"/>
      <c r="DK38" s="945"/>
      <c r="DL38" s="945"/>
      <c r="DM38" s="945"/>
      <c r="DN38" s="945"/>
      <c r="DO38" s="945"/>
      <c r="DP38" s="945"/>
      <c r="DQ38" s="945"/>
      <c r="DR38" s="945"/>
      <c r="DS38" s="945"/>
      <c r="DT38" s="945"/>
      <c r="DU38" s="945"/>
      <c r="DV38" s="945"/>
      <c r="DW38" s="945"/>
      <c r="DX38" s="945"/>
      <c r="DY38" s="945"/>
      <c r="DZ38" s="945"/>
      <c r="EA38" s="945"/>
      <c r="EB38" s="945"/>
      <c r="EC38" s="945"/>
      <c r="ED38" s="945"/>
      <c r="EE38" s="945"/>
      <c r="EF38" s="945"/>
      <c r="EG38" s="945"/>
      <c r="EH38" s="945"/>
      <c r="EI38" s="945"/>
      <c r="EJ38" s="945"/>
      <c r="EK38" s="945"/>
      <c r="EL38" s="945"/>
      <c r="EM38" s="945"/>
      <c r="EN38" s="945"/>
      <c r="EO38" s="945"/>
      <c r="EP38" s="945"/>
      <c r="EQ38" s="945"/>
      <c r="ER38" s="945"/>
      <c r="ES38" s="945"/>
      <c r="ET38" s="945"/>
      <c r="EU38" s="945"/>
      <c r="EV38" s="945"/>
      <c r="EW38" s="945"/>
      <c r="EX38" s="945"/>
      <c r="EY38" s="945"/>
      <c r="EZ38" s="945"/>
      <c r="FA38" s="945"/>
      <c r="FB38" s="945"/>
      <c r="FC38" s="945"/>
      <c r="FD38" s="945"/>
      <c r="FE38" s="945"/>
      <c r="FF38" s="945"/>
      <c r="FG38" s="945"/>
      <c r="FH38" s="945"/>
      <c r="FI38" s="945"/>
      <c r="FJ38" s="945"/>
      <c r="FK38" s="945"/>
      <c r="FL38" s="945"/>
      <c r="FM38" s="945"/>
      <c r="FN38" s="945"/>
      <c r="FO38" s="945"/>
      <c r="FP38" s="945"/>
      <c r="FQ38" s="945"/>
      <c r="FR38" s="945"/>
      <c r="FS38" s="945"/>
      <c r="FT38" s="945"/>
      <c r="FU38" s="945"/>
      <c r="FV38" s="945"/>
      <c r="FW38" s="945"/>
      <c r="FX38" s="945"/>
      <c r="FY38" s="945"/>
      <c r="FZ38" s="945"/>
      <c r="GA38" s="945"/>
      <c r="GB38" s="945"/>
      <c r="GC38" s="945"/>
      <c r="GD38" s="945"/>
      <c r="GE38" s="945"/>
      <c r="GF38" s="945"/>
      <c r="GG38" s="945"/>
      <c r="GH38" s="945"/>
      <c r="GI38" s="945"/>
      <c r="GJ38" s="945"/>
      <c r="GK38" s="945"/>
      <c r="GL38" s="945"/>
      <c r="GM38" s="945"/>
      <c r="GN38" s="945"/>
      <c r="GO38" s="945"/>
      <c r="GP38" s="945"/>
      <c r="GQ38" s="945"/>
      <c r="GR38" s="945"/>
      <c r="GS38" s="945"/>
      <c r="GT38" s="945"/>
      <c r="GU38" s="945"/>
      <c r="GV38" s="945"/>
      <c r="GW38" s="945"/>
      <c r="GX38" s="945"/>
      <c r="GY38" s="945"/>
      <c r="GZ38" s="945"/>
      <c r="HA38" s="945"/>
      <c r="HB38" s="945"/>
      <c r="HC38" s="945"/>
      <c r="HD38" s="945"/>
      <c r="HE38" s="945"/>
      <c r="HF38" s="945"/>
      <c r="HG38" s="945"/>
      <c r="HH38" s="945"/>
      <c r="HI38" s="945"/>
      <c r="HJ38" s="945"/>
      <c r="HK38" s="945"/>
      <c r="HL38" s="945"/>
      <c r="HM38" s="945"/>
      <c r="HN38" s="945"/>
      <c r="HO38" s="945"/>
      <c r="HP38" s="945"/>
      <c r="HQ38" s="945"/>
      <c r="HR38" s="945"/>
      <c r="HS38" s="945"/>
      <c r="HT38" s="945"/>
      <c r="HU38" s="945"/>
      <c r="HV38" s="945"/>
      <c r="HW38" s="945"/>
      <c r="HX38" s="945"/>
      <c r="HY38" s="945"/>
      <c r="HZ38" s="945"/>
      <c r="IA38" s="945"/>
      <c r="IB38" s="945"/>
      <c r="IC38" s="945"/>
      <c r="ID38" s="945"/>
      <c r="IE38" s="945"/>
      <c r="IF38" s="945"/>
      <c r="IG38" s="945"/>
      <c r="IH38" s="945"/>
      <c r="II38" s="945"/>
      <c r="IJ38" s="945"/>
      <c r="IK38" s="945"/>
      <c r="IL38" s="945"/>
      <c r="IM38" s="945"/>
      <c r="IN38" s="945"/>
      <c r="IO38" s="945"/>
      <c r="IP38" s="945"/>
      <c r="IQ38" s="945"/>
      <c r="IR38" s="945"/>
      <c r="IS38" s="945"/>
      <c r="IT38" s="945"/>
      <c r="IU38" s="945"/>
      <c r="IV38" s="945"/>
      <c r="IW38" s="945"/>
      <c r="IX38" s="945"/>
      <c r="IY38" s="945"/>
      <c r="IZ38" s="945"/>
      <c r="JA38" s="945"/>
      <c r="JB38" s="945"/>
      <c r="JC38" s="945"/>
      <c r="JD38" s="945"/>
      <c r="JE38" s="945"/>
      <c r="JF38" s="945"/>
      <c r="JG38" s="945"/>
      <c r="JH38" s="945"/>
      <c r="JI38" s="945"/>
      <c r="JJ38" s="945"/>
      <c r="JK38" s="945"/>
      <c r="JL38" s="945"/>
      <c r="JM38" s="945"/>
      <c r="JN38" s="945"/>
      <c r="JO38" s="945"/>
      <c r="JP38" s="945"/>
      <c r="JQ38" s="945"/>
      <c r="JR38" s="945"/>
      <c r="JS38" s="945"/>
      <c r="JT38" s="945"/>
      <c r="JU38" s="945"/>
      <c r="JV38" s="945"/>
      <c r="JW38" s="945"/>
      <c r="JX38" s="945"/>
      <c r="JY38" s="945"/>
      <c r="JZ38" s="945"/>
      <c r="KA38" s="945"/>
      <c r="KB38" s="945"/>
      <c r="KC38" s="945"/>
      <c r="KD38" s="945"/>
      <c r="KE38" s="945"/>
      <c r="KF38" s="945"/>
      <c r="KG38" s="945"/>
      <c r="KH38" s="945"/>
      <c r="KI38" s="945"/>
      <c r="KJ38" s="945"/>
      <c r="KK38" s="945"/>
      <c r="KL38" s="945"/>
      <c r="KM38" s="945"/>
      <c r="KN38" s="945"/>
      <c r="KO38" s="945"/>
      <c r="KP38" s="945"/>
      <c r="KQ38" s="945"/>
      <c r="KR38" s="945"/>
      <c r="KS38" s="945"/>
      <c r="KT38" s="945"/>
      <c r="KU38" s="945"/>
      <c r="KV38" s="945"/>
      <c r="KW38" s="945"/>
      <c r="KX38" s="945"/>
      <c r="KY38" s="945"/>
      <c r="KZ38" s="945"/>
      <c r="LA38" s="945"/>
      <c r="LB38" s="945"/>
      <c r="LC38" s="945"/>
      <c r="LD38" s="945"/>
      <c r="LE38" s="945"/>
      <c r="LF38" s="945"/>
      <c r="LG38" s="945"/>
      <c r="LH38" s="945"/>
      <c r="LI38" s="945"/>
      <c r="LJ38" s="945"/>
      <c r="LK38" s="945"/>
      <c r="LL38" s="945"/>
      <c r="LM38" s="945"/>
      <c r="LN38" s="945"/>
      <c r="LO38" s="945"/>
      <c r="LP38" s="945"/>
      <c r="LQ38" s="945"/>
      <c r="LR38" s="945"/>
      <c r="LS38" s="945"/>
      <c r="LT38" s="945"/>
      <c r="LU38" s="945"/>
      <c r="LV38" s="945"/>
      <c r="LW38" s="945"/>
      <c r="LX38" s="945"/>
      <c r="LY38" s="945"/>
      <c r="LZ38" s="945"/>
      <c r="MA38" s="945"/>
      <c r="MB38" s="945"/>
      <c r="MC38" s="945"/>
      <c r="MD38" s="945"/>
      <c r="ME38" s="945"/>
      <c r="MF38" s="945"/>
      <c r="MG38" s="945"/>
      <c r="MH38" s="945"/>
      <c r="MI38" s="945"/>
      <c r="MJ38" s="945"/>
      <c r="MK38" s="945"/>
      <c r="ML38" s="945"/>
      <c r="MM38" s="945"/>
      <c r="MN38" s="945"/>
      <c r="MO38" s="945"/>
      <c r="MP38" s="945"/>
      <c r="MQ38" s="945"/>
      <c r="MR38" s="945"/>
      <c r="MS38" s="945"/>
      <c r="MT38" s="945"/>
      <c r="MU38" s="945"/>
      <c r="MV38" s="945"/>
      <c r="MW38" s="945"/>
      <c r="MX38" s="945"/>
      <c r="MY38" s="945"/>
      <c r="MZ38" s="945"/>
      <c r="NA38" s="945"/>
      <c r="NB38" s="945"/>
      <c r="NC38" s="945"/>
      <c r="ND38" s="945"/>
      <c r="NE38" s="945"/>
      <c r="NF38" s="945"/>
      <c r="NG38" s="945"/>
      <c r="NH38" s="945"/>
      <c r="NI38" s="945"/>
      <c r="NJ38" s="945"/>
      <c r="NK38" s="945"/>
      <c r="NL38" s="945"/>
      <c r="NM38" s="945"/>
      <c r="NN38" s="945"/>
      <c r="NO38" s="945"/>
      <c r="NP38" s="945"/>
      <c r="NQ38" s="945"/>
      <c r="NR38" s="945"/>
      <c r="NS38" s="945"/>
      <c r="NT38" s="945"/>
      <c r="NU38" s="945"/>
      <c r="NV38" s="945"/>
      <c r="NW38" s="945"/>
      <c r="NX38" s="945"/>
      <c r="NY38" s="945"/>
      <c r="NZ38" s="945"/>
      <c r="OA38" s="945"/>
      <c r="OB38" s="945"/>
      <c r="OC38" s="945"/>
      <c r="OD38" s="945"/>
      <c r="OE38" s="945"/>
      <c r="OF38" s="945"/>
      <c r="OG38" s="945"/>
      <c r="OH38" s="945"/>
      <c r="OI38" s="945"/>
      <c r="OJ38" s="945"/>
      <c r="OK38" s="945"/>
      <c r="OL38" s="945"/>
      <c r="OM38" s="945"/>
      <c r="ON38" s="945"/>
      <c r="OO38" s="945"/>
      <c r="OP38" s="945"/>
      <c r="OQ38" s="945"/>
      <c r="OR38" s="945"/>
      <c r="OS38" s="945"/>
      <c r="OT38" s="945"/>
      <c r="OU38" s="945"/>
      <c r="OV38" s="945"/>
      <c r="OW38" s="945"/>
      <c r="OX38" s="945"/>
      <c r="OY38" s="945"/>
      <c r="OZ38" s="945"/>
      <c r="PA38" s="945"/>
      <c r="PB38" s="945"/>
      <c r="PC38" s="945"/>
      <c r="PD38" s="945"/>
      <c r="PE38" s="945"/>
      <c r="PF38" s="945"/>
      <c r="PG38" s="945"/>
      <c r="PH38" s="945"/>
      <c r="PI38" s="945"/>
      <c r="PJ38" s="945"/>
      <c r="PK38" s="945"/>
      <c r="PL38" s="945"/>
      <c r="PM38" s="945"/>
      <c r="PN38" s="945"/>
      <c r="PO38" s="945"/>
      <c r="PP38" s="945"/>
      <c r="PQ38" s="945"/>
      <c r="PR38" s="945"/>
      <c r="PS38" s="945"/>
      <c r="PT38" s="945"/>
      <c r="PU38" s="945"/>
      <c r="PV38" s="945"/>
      <c r="PW38" s="945"/>
      <c r="PX38" s="945"/>
      <c r="PY38" s="945"/>
      <c r="PZ38" s="945"/>
      <c r="QA38" s="945"/>
      <c r="QB38" s="945"/>
      <c r="QC38" s="945"/>
      <c r="QD38" s="945"/>
      <c r="QE38" s="945"/>
      <c r="QF38" s="945"/>
      <c r="QG38" s="945"/>
      <c r="QH38" s="945"/>
      <c r="QI38" s="945"/>
      <c r="QJ38" s="945"/>
      <c r="QK38" s="945"/>
      <c r="QL38" s="945"/>
      <c r="QM38" s="945"/>
      <c r="QN38" s="945"/>
      <c r="QO38" s="945"/>
      <c r="QP38" s="945"/>
      <c r="QQ38" s="945"/>
      <c r="QR38" s="945"/>
      <c r="QS38" s="945"/>
      <c r="QT38" s="945"/>
      <c r="QU38" s="945"/>
      <c r="QV38" s="945"/>
      <c r="QW38" s="945"/>
      <c r="QX38" s="945"/>
      <c r="QY38" s="945"/>
      <c r="QZ38" s="945"/>
      <c r="RA38" s="945"/>
      <c r="RB38" s="945"/>
      <c r="RC38" s="945"/>
      <c r="RD38" s="945"/>
      <c r="RE38" s="945"/>
      <c r="RF38" s="945"/>
      <c r="RG38" s="945"/>
      <c r="RH38" s="945"/>
      <c r="RI38" s="945"/>
      <c r="RJ38" s="945"/>
      <c r="RK38" s="945"/>
      <c r="RL38" s="945"/>
      <c r="RM38" s="945"/>
      <c r="RN38" s="945"/>
      <c r="RO38" s="945"/>
      <c r="RP38" s="945"/>
      <c r="RQ38" s="945"/>
      <c r="RR38" s="945"/>
      <c r="RS38" s="945"/>
      <c r="RT38" s="945"/>
      <c r="RU38" s="945"/>
      <c r="RV38" s="945"/>
      <c r="RW38" s="945"/>
      <c r="RX38" s="945"/>
    </row>
    <row r="39" spans="1:492" s="167" customFormat="1" ht="28.5" customHeight="1">
      <c r="A39" s="111" t="s">
        <v>482</v>
      </c>
      <c r="B39" s="111" t="s">
        <v>483</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949"/>
      <c r="AN39" s="949"/>
      <c r="AO39" s="949"/>
      <c r="AP39" s="949"/>
      <c r="AQ39" s="950"/>
      <c r="AR39" s="899"/>
      <c r="AS39" s="899"/>
      <c r="AT39" s="899"/>
      <c r="AU39" s="899"/>
      <c r="AV39" s="899"/>
      <c r="AW39" s="949"/>
      <c r="AX39" s="949"/>
      <c r="AY39" s="949"/>
      <c r="AZ39" s="949"/>
      <c r="BA39" s="169"/>
      <c r="BB39" s="899"/>
      <c r="BC39" s="899"/>
      <c r="BD39" s="899"/>
      <c r="BE39" s="170"/>
      <c r="BF39" s="950"/>
      <c r="BG39" s="899"/>
      <c r="BH39" s="899"/>
      <c r="BI39" s="899"/>
      <c r="BJ39" s="170"/>
      <c r="BK39" s="521"/>
      <c r="BL39" s="899"/>
      <c r="BM39" s="899"/>
      <c r="BN39" s="924"/>
      <c r="BO39" s="924"/>
      <c r="BP39" s="521"/>
      <c r="BQ39" s="899"/>
      <c r="BR39" s="899"/>
      <c r="BS39" s="899"/>
      <c r="BT39" s="924"/>
      <c r="BU39" s="521"/>
      <c r="BV39" s="899"/>
      <c r="BW39" s="899"/>
      <c r="BX39" s="899"/>
      <c r="BY39" s="924"/>
      <c r="BZ39" s="521"/>
      <c r="CA39" s="898"/>
      <c r="CB39" s="898"/>
      <c r="CC39" s="898"/>
      <c r="CD39" s="898"/>
      <c r="CE39" s="898"/>
      <c r="CF39" s="898"/>
      <c r="CG39" s="898"/>
      <c r="CH39" s="898"/>
      <c r="CI39" s="898"/>
      <c r="CJ39" s="898"/>
      <c r="CK39" s="898"/>
      <c r="CL39" s="898"/>
      <c r="CM39" s="898"/>
      <c r="CN39" s="898"/>
      <c r="CO39" s="898"/>
      <c r="CP39" s="898"/>
      <c r="CQ39" s="898"/>
      <c r="CR39" s="898"/>
      <c r="CS39" s="898"/>
      <c r="CT39" s="898"/>
      <c r="CU39" s="898"/>
      <c r="CV39" s="898"/>
      <c r="CW39" s="898"/>
      <c r="CX39" s="898"/>
      <c r="CY39" s="898"/>
      <c r="CZ39" s="898"/>
      <c r="DA39" s="898"/>
      <c r="DB39" s="898"/>
      <c r="DC39" s="898"/>
      <c r="DD39" s="898"/>
      <c r="DE39" s="898"/>
      <c r="DF39" s="898"/>
      <c r="DG39" s="898"/>
      <c r="DH39" s="898"/>
      <c r="DI39" s="898"/>
      <c r="DJ39" s="898"/>
      <c r="DK39" s="898"/>
      <c r="DL39" s="898"/>
      <c r="DM39" s="898"/>
      <c r="DN39" s="898"/>
      <c r="DO39" s="898"/>
      <c r="DP39" s="898"/>
      <c r="DQ39" s="898"/>
      <c r="DR39" s="898"/>
      <c r="DS39" s="898"/>
      <c r="DT39" s="898"/>
      <c r="DU39" s="898"/>
      <c r="DV39" s="898"/>
      <c r="DW39" s="898"/>
      <c r="DX39" s="898"/>
      <c r="DY39" s="898"/>
      <c r="DZ39" s="898"/>
      <c r="EA39" s="898"/>
      <c r="EB39" s="898"/>
      <c r="EC39" s="898"/>
      <c r="ED39" s="898"/>
      <c r="EE39" s="898"/>
      <c r="EF39" s="898"/>
      <c r="EG39" s="898"/>
      <c r="EH39" s="898"/>
      <c r="EI39" s="898"/>
      <c r="EJ39" s="898"/>
      <c r="EK39" s="898"/>
      <c r="EL39" s="898"/>
      <c r="EM39" s="898"/>
      <c r="EN39" s="898"/>
      <c r="EO39" s="898"/>
      <c r="EP39" s="898"/>
      <c r="EQ39" s="898"/>
      <c r="ER39" s="898"/>
      <c r="ES39" s="898"/>
      <c r="ET39" s="898"/>
      <c r="EU39" s="898"/>
      <c r="EV39" s="898"/>
      <c r="EW39" s="898"/>
      <c r="EX39" s="898"/>
      <c r="EY39" s="898"/>
      <c r="EZ39" s="898"/>
      <c r="FA39" s="898"/>
      <c r="FB39" s="898"/>
      <c r="FC39" s="898"/>
      <c r="FD39" s="898"/>
      <c r="FE39" s="898"/>
      <c r="FF39" s="898"/>
      <c r="FG39" s="898"/>
      <c r="FH39" s="898"/>
      <c r="FI39" s="898"/>
      <c r="FJ39" s="898"/>
      <c r="FK39" s="898"/>
      <c r="FL39" s="898"/>
      <c r="FM39" s="898"/>
      <c r="FN39" s="898"/>
      <c r="FO39" s="898"/>
      <c r="FP39" s="898"/>
      <c r="FQ39" s="898"/>
      <c r="FR39" s="898"/>
      <c r="FS39" s="898"/>
      <c r="FT39" s="898"/>
      <c r="FU39" s="898"/>
      <c r="FV39" s="898"/>
      <c r="FW39" s="898"/>
      <c r="FX39" s="898"/>
      <c r="FY39" s="898"/>
      <c r="FZ39" s="898"/>
      <c r="GA39" s="898"/>
      <c r="GB39" s="898"/>
      <c r="GC39" s="898"/>
      <c r="GD39" s="898"/>
      <c r="GE39" s="898"/>
      <c r="GF39" s="898"/>
      <c r="GG39" s="898"/>
      <c r="GH39" s="898"/>
      <c r="GI39" s="898"/>
      <c r="GJ39" s="898"/>
      <c r="GK39" s="898"/>
      <c r="GL39" s="898"/>
      <c r="GM39" s="898"/>
      <c r="GN39" s="898"/>
      <c r="GO39" s="898"/>
      <c r="GP39" s="898"/>
      <c r="GQ39" s="898"/>
      <c r="GR39" s="898"/>
      <c r="GS39" s="898"/>
      <c r="GT39" s="898"/>
      <c r="GU39" s="898"/>
      <c r="GV39" s="898"/>
      <c r="GW39" s="898"/>
      <c r="GX39" s="898"/>
      <c r="GY39" s="898"/>
      <c r="GZ39" s="898"/>
      <c r="HA39" s="898"/>
      <c r="HB39" s="898"/>
      <c r="HC39" s="898"/>
      <c r="HD39" s="898"/>
      <c r="HE39" s="898"/>
      <c r="HF39" s="898"/>
      <c r="HG39" s="898"/>
      <c r="HH39" s="898"/>
      <c r="HI39" s="898"/>
      <c r="HJ39" s="898"/>
      <c r="HK39" s="898"/>
      <c r="HL39" s="898"/>
      <c r="HM39" s="898"/>
      <c r="HN39" s="898"/>
      <c r="HO39" s="898"/>
      <c r="HP39" s="898"/>
      <c r="HQ39" s="898"/>
      <c r="HR39" s="898"/>
      <c r="HS39" s="898"/>
      <c r="HT39" s="898"/>
      <c r="HU39" s="898"/>
      <c r="HV39" s="898"/>
      <c r="HW39" s="898"/>
      <c r="HX39" s="898"/>
      <c r="HY39" s="898"/>
      <c r="HZ39" s="898"/>
      <c r="IA39" s="898"/>
      <c r="IB39" s="898"/>
      <c r="IC39" s="898"/>
      <c r="ID39" s="898"/>
      <c r="IE39" s="898"/>
      <c r="IF39" s="898"/>
      <c r="IG39" s="898"/>
      <c r="IH39" s="898"/>
      <c r="II39" s="898"/>
      <c r="IJ39" s="898"/>
      <c r="IK39" s="898"/>
      <c r="IL39" s="898"/>
      <c r="IM39" s="898"/>
      <c r="IN39" s="898"/>
      <c r="IO39" s="898"/>
      <c r="IP39" s="898"/>
      <c r="IQ39" s="898"/>
      <c r="IR39" s="898"/>
      <c r="IS39" s="898"/>
      <c r="IT39" s="898"/>
      <c r="IU39" s="898"/>
      <c r="IV39" s="898"/>
      <c r="IW39" s="898"/>
      <c r="IX39" s="898"/>
      <c r="IY39" s="898"/>
      <c r="IZ39" s="898"/>
      <c r="JA39" s="898"/>
      <c r="JB39" s="898"/>
      <c r="JC39" s="898"/>
      <c r="JD39" s="898"/>
      <c r="JE39" s="898"/>
      <c r="JF39" s="898"/>
      <c r="JG39" s="898"/>
      <c r="JH39" s="898"/>
      <c r="JI39" s="898"/>
      <c r="JJ39" s="898"/>
      <c r="JK39" s="898"/>
      <c r="JL39" s="898"/>
      <c r="JM39" s="898"/>
      <c r="JN39" s="898"/>
      <c r="JO39" s="898"/>
      <c r="JP39" s="898"/>
      <c r="JQ39" s="898"/>
      <c r="JR39" s="898"/>
      <c r="JS39" s="898"/>
      <c r="JT39" s="898"/>
      <c r="JU39" s="898"/>
      <c r="JV39" s="898"/>
      <c r="JW39" s="898"/>
      <c r="JX39" s="898"/>
      <c r="JY39" s="898"/>
      <c r="JZ39" s="898"/>
      <c r="KA39" s="898"/>
      <c r="KB39" s="898"/>
      <c r="KC39" s="898"/>
      <c r="KD39" s="898"/>
      <c r="KE39" s="898"/>
      <c r="KF39" s="898"/>
      <c r="KG39" s="898"/>
      <c r="KH39" s="898"/>
      <c r="KI39" s="898"/>
      <c r="KJ39" s="898"/>
      <c r="KK39" s="898"/>
      <c r="KL39" s="898"/>
      <c r="KM39" s="898"/>
      <c r="KN39" s="898"/>
      <c r="KO39" s="898"/>
      <c r="KP39" s="898"/>
      <c r="KQ39" s="898"/>
      <c r="KR39" s="898"/>
      <c r="KS39" s="898"/>
      <c r="KT39" s="898"/>
      <c r="KU39" s="898"/>
      <c r="KV39" s="898"/>
      <c r="KW39" s="898"/>
      <c r="KX39" s="898"/>
      <c r="KY39" s="898"/>
      <c r="KZ39" s="898"/>
      <c r="LA39" s="898"/>
      <c r="LB39" s="898"/>
      <c r="LC39" s="898"/>
      <c r="LD39" s="898"/>
      <c r="LE39" s="898"/>
      <c r="LF39" s="898"/>
      <c r="LG39" s="898"/>
      <c r="LH39" s="898"/>
      <c r="LI39" s="898"/>
      <c r="LJ39" s="898"/>
      <c r="LK39" s="898"/>
      <c r="LL39" s="898"/>
      <c r="LM39" s="898"/>
      <c r="LN39" s="898"/>
      <c r="LO39" s="898"/>
      <c r="LP39" s="898"/>
      <c r="LQ39" s="898"/>
      <c r="LR39" s="898"/>
      <c r="LS39" s="898"/>
      <c r="LT39" s="898"/>
      <c r="LU39" s="898"/>
      <c r="LV39" s="898"/>
      <c r="LW39" s="898"/>
      <c r="LX39" s="898"/>
      <c r="LY39" s="898"/>
      <c r="LZ39" s="898"/>
      <c r="MA39" s="898"/>
      <c r="MB39" s="898"/>
      <c r="MC39" s="898"/>
      <c r="MD39" s="898"/>
      <c r="ME39" s="898"/>
      <c r="MF39" s="898"/>
      <c r="MG39" s="898"/>
      <c r="MH39" s="898"/>
      <c r="MI39" s="898"/>
      <c r="MJ39" s="898"/>
      <c r="MK39" s="898"/>
      <c r="ML39" s="898"/>
      <c r="MM39" s="898"/>
      <c r="MN39" s="898"/>
      <c r="MO39" s="898"/>
      <c r="MP39" s="898"/>
      <c r="MQ39" s="898"/>
      <c r="MR39" s="898"/>
      <c r="MS39" s="898"/>
      <c r="MT39" s="898"/>
      <c r="MU39" s="898"/>
      <c r="MV39" s="898"/>
      <c r="MW39" s="898"/>
      <c r="MX39" s="898"/>
      <c r="MY39" s="898"/>
      <c r="MZ39" s="898"/>
      <c r="NA39" s="898"/>
      <c r="NB39" s="898"/>
      <c r="NC39" s="898"/>
      <c r="ND39" s="898"/>
      <c r="NE39" s="898"/>
      <c r="NF39" s="898"/>
      <c r="NG39" s="898"/>
      <c r="NH39" s="898"/>
      <c r="NI39" s="898"/>
      <c r="NJ39" s="898"/>
      <c r="NK39" s="898"/>
      <c r="NL39" s="898"/>
      <c r="NM39" s="898"/>
      <c r="NN39" s="898"/>
      <c r="NO39" s="898"/>
      <c r="NP39" s="898"/>
      <c r="NQ39" s="898"/>
      <c r="NR39" s="898"/>
      <c r="NS39" s="898"/>
      <c r="NT39" s="898"/>
      <c r="NU39" s="898"/>
      <c r="NV39" s="898"/>
      <c r="NW39" s="898"/>
      <c r="NX39" s="898"/>
      <c r="NY39" s="898"/>
      <c r="NZ39" s="898"/>
      <c r="OA39" s="898"/>
      <c r="OB39" s="898"/>
      <c r="OC39" s="898"/>
      <c r="OD39" s="898"/>
      <c r="OE39" s="898"/>
      <c r="OF39" s="898"/>
      <c r="OG39" s="898"/>
      <c r="OH39" s="898"/>
      <c r="OI39" s="898"/>
      <c r="OJ39" s="898"/>
      <c r="OK39" s="898"/>
      <c r="OL39" s="898"/>
      <c r="OM39" s="898"/>
      <c r="ON39" s="898"/>
      <c r="OO39" s="898"/>
      <c r="OP39" s="898"/>
      <c r="OQ39" s="898"/>
      <c r="OR39" s="898"/>
      <c r="OS39" s="898"/>
      <c r="OT39" s="898"/>
      <c r="OU39" s="898"/>
      <c r="OV39" s="898"/>
      <c r="OW39" s="898"/>
      <c r="OX39" s="898"/>
      <c r="OY39" s="898"/>
      <c r="OZ39" s="898"/>
      <c r="PA39" s="898"/>
      <c r="PB39" s="898"/>
      <c r="PC39" s="898"/>
      <c r="PD39" s="898"/>
      <c r="PE39" s="898"/>
      <c r="PF39" s="898"/>
      <c r="PG39" s="898"/>
      <c r="PH39" s="898"/>
      <c r="PI39" s="898"/>
      <c r="PJ39" s="898"/>
      <c r="PK39" s="898"/>
      <c r="PL39" s="898"/>
      <c r="PM39" s="898"/>
      <c r="PN39" s="898"/>
      <c r="PO39" s="898"/>
      <c r="PP39" s="898"/>
      <c r="PQ39" s="898"/>
      <c r="PR39" s="898"/>
      <c r="PS39" s="898"/>
      <c r="PT39" s="898"/>
      <c r="PU39" s="898"/>
      <c r="PV39" s="898"/>
      <c r="PW39" s="898"/>
      <c r="PX39" s="898"/>
      <c r="PY39" s="898"/>
      <c r="PZ39" s="898"/>
      <c r="QA39" s="898"/>
      <c r="QB39" s="898"/>
      <c r="QC39" s="898"/>
      <c r="QD39" s="898"/>
      <c r="QE39" s="898"/>
      <c r="QF39" s="898"/>
      <c r="QG39" s="898"/>
      <c r="QH39" s="898"/>
      <c r="QI39" s="898"/>
      <c r="QJ39" s="898"/>
      <c r="QK39" s="898"/>
      <c r="QL39" s="898"/>
      <c r="QM39" s="898"/>
      <c r="QN39" s="898"/>
      <c r="QO39" s="898"/>
      <c r="QP39" s="898"/>
      <c r="QQ39" s="898"/>
      <c r="QR39" s="898"/>
      <c r="QS39" s="898"/>
      <c r="QT39" s="898"/>
      <c r="QU39" s="898"/>
      <c r="QV39" s="898"/>
      <c r="QW39" s="898"/>
      <c r="QX39" s="898"/>
      <c r="QY39" s="898"/>
      <c r="QZ39" s="898"/>
      <c r="RA39" s="898"/>
      <c r="RB39" s="898"/>
      <c r="RC39" s="898"/>
      <c r="RD39" s="898"/>
      <c r="RE39" s="898"/>
      <c r="RF39" s="898"/>
      <c r="RG39" s="898"/>
      <c r="RH39" s="898"/>
      <c r="RI39" s="898"/>
      <c r="RJ39" s="898"/>
      <c r="RK39" s="898"/>
      <c r="RL39" s="898"/>
      <c r="RM39" s="898"/>
      <c r="RN39" s="898"/>
      <c r="RO39" s="898"/>
      <c r="RP39" s="898"/>
      <c r="RQ39" s="898"/>
      <c r="RR39" s="898"/>
      <c r="RS39" s="898"/>
      <c r="RT39" s="898"/>
      <c r="RU39" s="898"/>
      <c r="RV39" s="898"/>
      <c r="RW39" s="898"/>
      <c r="RX39" s="898"/>
    </row>
    <row r="40" spans="1:492" s="167" customFormat="1" ht="28.5" customHeight="1">
      <c r="A40" s="148" t="s">
        <v>484</v>
      </c>
      <c r="B40" s="148" t="s">
        <v>485</v>
      </c>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949"/>
      <c r="AN40" s="949"/>
      <c r="AO40" s="949"/>
      <c r="AP40" s="949"/>
      <c r="AQ40" s="950"/>
      <c r="AR40" s="899"/>
      <c r="AS40" s="899"/>
      <c r="AT40" s="899"/>
      <c r="AU40" s="899"/>
      <c r="AV40" s="899"/>
      <c r="AW40" s="949"/>
      <c r="AX40" s="949"/>
      <c r="AY40" s="949"/>
      <c r="AZ40" s="949"/>
      <c r="BA40" s="169"/>
      <c r="BB40" s="899"/>
      <c r="BC40" s="899"/>
      <c r="BD40" s="899"/>
      <c r="BE40" s="170"/>
      <c r="BF40" s="950"/>
      <c r="BG40" s="899"/>
      <c r="BH40" s="899"/>
      <c r="BI40" s="899"/>
      <c r="BJ40" s="170"/>
      <c r="BK40" s="521"/>
      <c r="BL40" s="899"/>
      <c r="BM40" s="899"/>
      <c r="BN40" s="899"/>
      <c r="BO40" s="170"/>
      <c r="BP40" s="521"/>
      <c r="BQ40" s="899"/>
      <c r="BR40" s="899"/>
      <c r="BS40" s="899"/>
      <c r="BT40" s="170"/>
      <c r="BU40" s="521"/>
      <c r="BV40" s="899"/>
      <c r="BW40" s="899"/>
      <c r="BX40" s="899"/>
      <c r="BY40" s="170"/>
      <c r="BZ40" s="521"/>
      <c r="CA40" s="898"/>
      <c r="CB40" s="898"/>
      <c r="CC40" s="898"/>
      <c r="CD40" s="898"/>
      <c r="CE40" s="898"/>
      <c r="CF40" s="898"/>
      <c r="CG40" s="898"/>
      <c r="CH40" s="898"/>
      <c r="CI40" s="898"/>
      <c r="CJ40" s="898"/>
      <c r="CK40" s="898"/>
      <c r="CL40" s="898"/>
      <c r="CM40" s="898"/>
      <c r="CN40" s="898"/>
      <c r="CO40" s="898"/>
      <c r="CP40" s="898"/>
      <c r="CQ40" s="898"/>
      <c r="CR40" s="898"/>
      <c r="CS40" s="898"/>
      <c r="CT40" s="898"/>
      <c r="CU40" s="898"/>
      <c r="CV40" s="898"/>
      <c r="CW40" s="898"/>
      <c r="CX40" s="898"/>
      <c r="CY40" s="898"/>
      <c r="CZ40" s="898"/>
      <c r="DA40" s="898"/>
      <c r="DB40" s="898"/>
      <c r="DC40" s="898"/>
      <c r="DD40" s="898"/>
      <c r="DE40" s="898"/>
      <c r="DF40" s="898"/>
      <c r="DG40" s="898"/>
      <c r="DH40" s="898"/>
      <c r="DI40" s="898"/>
      <c r="DJ40" s="898"/>
      <c r="DK40" s="898"/>
      <c r="DL40" s="898"/>
      <c r="DM40" s="898"/>
      <c r="DN40" s="898"/>
      <c r="DO40" s="898"/>
      <c r="DP40" s="898"/>
      <c r="DQ40" s="898"/>
      <c r="DR40" s="898"/>
      <c r="DS40" s="898"/>
      <c r="DT40" s="898"/>
      <c r="DU40" s="898"/>
      <c r="DV40" s="898"/>
      <c r="DW40" s="898"/>
      <c r="DX40" s="898"/>
      <c r="DY40" s="898"/>
      <c r="DZ40" s="898"/>
      <c r="EA40" s="898"/>
      <c r="EB40" s="898"/>
      <c r="EC40" s="898"/>
      <c r="ED40" s="898"/>
      <c r="EE40" s="898"/>
      <c r="EF40" s="898"/>
      <c r="EG40" s="898"/>
      <c r="EH40" s="898"/>
      <c r="EI40" s="898"/>
      <c r="EJ40" s="898"/>
      <c r="EK40" s="898"/>
      <c r="EL40" s="898"/>
      <c r="EM40" s="898"/>
      <c r="EN40" s="898"/>
      <c r="EO40" s="898"/>
      <c r="EP40" s="898"/>
      <c r="EQ40" s="898"/>
      <c r="ER40" s="898"/>
      <c r="ES40" s="898"/>
      <c r="ET40" s="898"/>
      <c r="EU40" s="898"/>
      <c r="EV40" s="898"/>
      <c r="EW40" s="898"/>
      <c r="EX40" s="898"/>
      <c r="EY40" s="898"/>
      <c r="EZ40" s="898"/>
      <c r="FA40" s="898"/>
      <c r="FB40" s="898"/>
      <c r="FC40" s="898"/>
      <c r="FD40" s="898"/>
      <c r="FE40" s="898"/>
      <c r="FF40" s="898"/>
      <c r="FG40" s="898"/>
      <c r="FH40" s="898"/>
      <c r="FI40" s="898"/>
      <c r="FJ40" s="898"/>
      <c r="FK40" s="898"/>
      <c r="FL40" s="898"/>
      <c r="FM40" s="898"/>
      <c r="FN40" s="898"/>
      <c r="FO40" s="898"/>
      <c r="FP40" s="898"/>
      <c r="FQ40" s="898"/>
      <c r="FR40" s="898"/>
      <c r="FS40" s="898"/>
      <c r="FT40" s="898"/>
      <c r="FU40" s="898"/>
      <c r="FV40" s="898"/>
      <c r="FW40" s="898"/>
      <c r="FX40" s="898"/>
      <c r="FY40" s="898"/>
      <c r="FZ40" s="898"/>
      <c r="GA40" s="898"/>
      <c r="GB40" s="898"/>
      <c r="GC40" s="898"/>
      <c r="GD40" s="898"/>
      <c r="GE40" s="898"/>
      <c r="GF40" s="898"/>
      <c r="GG40" s="898"/>
      <c r="GH40" s="898"/>
      <c r="GI40" s="898"/>
      <c r="GJ40" s="898"/>
      <c r="GK40" s="898"/>
      <c r="GL40" s="898"/>
      <c r="GM40" s="898"/>
      <c r="GN40" s="898"/>
      <c r="GO40" s="898"/>
      <c r="GP40" s="898"/>
      <c r="GQ40" s="898"/>
      <c r="GR40" s="898"/>
      <c r="GS40" s="898"/>
      <c r="GT40" s="898"/>
      <c r="GU40" s="898"/>
      <c r="GV40" s="898"/>
      <c r="GW40" s="898"/>
      <c r="GX40" s="898"/>
      <c r="GY40" s="898"/>
      <c r="GZ40" s="898"/>
      <c r="HA40" s="898"/>
      <c r="HB40" s="898"/>
      <c r="HC40" s="898"/>
      <c r="HD40" s="898"/>
      <c r="HE40" s="898"/>
      <c r="HF40" s="898"/>
      <c r="HG40" s="898"/>
      <c r="HH40" s="898"/>
      <c r="HI40" s="898"/>
      <c r="HJ40" s="898"/>
      <c r="HK40" s="898"/>
      <c r="HL40" s="898"/>
      <c r="HM40" s="898"/>
      <c r="HN40" s="898"/>
      <c r="HO40" s="898"/>
      <c r="HP40" s="898"/>
      <c r="HQ40" s="898"/>
      <c r="HR40" s="898"/>
      <c r="HS40" s="898"/>
      <c r="HT40" s="898"/>
      <c r="HU40" s="898"/>
      <c r="HV40" s="898"/>
      <c r="HW40" s="898"/>
      <c r="HX40" s="898"/>
      <c r="HY40" s="898"/>
      <c r="HZ40" s="898"/>
      <c r="IA40" s="898"/>
      <c r="IB40" s="898"/>
      <c r="IC40" s="898"/>
      <c r="ID40" s="898"/>
      <c r="IE40" s="898"/>
      <c r="IF40" s="898"/>
      <c r="IG40" s="898"/>
      <c r="IH40" s="898"/>
      <c r="II40" s="898"/>
      <c r="IJ40" s="898"/>
      <c r="IK40" s="898"/>
      <c r="IL40" s="898"/>
      <c r="IM40" s="898"/>
      <c r="IN40" s="898"/>
      <c r="IO40" s="898"/>
      <c r="IP40" s="898"/>
      <c r="IQ40" s="898"/>
      <c r="IR40" s="898"/>
      <c r="IS40" s="898"/>
      <c r="IT40" s="898"/>
      <c r="IU40" s="898"/>
      <c r="IV40" s="898"/>
      <c r="IW40" s="898"/>
      <c r="IX40" s="898"/>
      <c r="IY40" s="898"/>
      <c r="IZ40" s="898"/>
      <c r="JA40" s="898"/>
      <c r="JB40" s="898"/>
      <c r="JC40" s="898"/>
      <c r="JD40" s="898"/>
      <c r="JE40" s="898"/>
      <c r="JF40" s="898"/>
      <c r="JG40" s="898"/>
      <c r="JH40" s="898"/>
      <c r="JI40" s="898"/>
      <c r="JJ40" s="898"/>
      <c r="JK40" s="898"/>
      <c r="JL40" s="898"/>
      <c r="JM40" s="898"/>
      <c r="JN40" s="898"/>
      <c r="JO40" s="898"/>
      <c r="JP40" s="898"/>
      <c r="JQ40" s="898"/>
      <c r="JR40" s="898"/>
      <c r="JS40" s="898"/>
      <c r="JT40" s="898"/>
      <c r="JU40" s="898"/>
      <c r="JV40" s="898"/>
      <c r="JW40" s="898"/>
      <c r="JX40" s="898"/>
      <c r="JY40" s="898"/>
      <c r="JZ40" s="898"/>
      <c r="KA40" s="898"/>
      <c r="KB40" s="898"/>
      <c r="KC40" s="898"/>
      <c r="KD40" s="898"/>
      <c r="KE40" s="898"/>
      <c r="KF40" s="898"/>
      <c r="KG40" s="898"/>
      <c r="KH40" s="898"/>
      <c r="KI40" s="898"/>
      <c r="KJ40" s="898"/>
      <c r="KK40" s="898"/>
      <c r="KL40" s="898"/>
      <c r="KM40" s="898"/>
      <c r="KN40" s="898"/>
      <c r="KO40" s="898"/>
      <c r="KP40" s="898"/>
      <c r="KQ40" s="898"/>
      <c r="KR40" s="898"/>
      <c r="KS40" s="898"/>
      <c r="KT40" s="898"/>
      <c r="KU40" s="898"/>
      <c r="KV40" s="898"/>
      <c r="KW40" s="898"/>
      <c r="KX40" s="898"/>
      <c r="KY40" s="898"/>
      <c r="KZ40" s="898"/>
      <c r="LA40" s="898"/>
      <c r="LB40" s="898"/>
      <c r="LC40" s="898"/>
      <c r="LD40" s="898"/>
      <c r="LE40" s="898"/>
      <c r="LF40" s="898"/>
      <c r="LG40" s="898"/>
      <c r="LH40" s="898"/>
      <c r="LI40" s="898"/>
      <c r="LJ40" s="898"/>
      <c r="LK40" s="898"/>
      <c r="LL40" s="898"/>
      <c r="LM40" s="898"/>
      <c r="LN40" s="898"/>
      <c r="LO40" s="898"/>
      <c r="LP40" s="898"/>
      <c r="LQ40" s="898"/>
      <c r="LR40" s="898"/>
      <c r="LS40" s="898"/>
      <c r="LT40" s="898"/>
      <c r="LU40" s="898"/>
      <c r="LV40" s="898"/>
      <c r="LW40" s="898"/>
      <c r="LX40" s="898"/>
      <c r="LY40" s="898"/>
      <c r="LZ40" s="898"/>
      <c r="MA40" s="898"/>
      <c r="MB40" s="898"/>
      <c r="MC40" s="898"/>
      <c r="MD40" s="898"/>
      <c r="ME40" s="898"/>
      <c r="MF40" s="898"/>
      <c r="MG40" s="898"/>
      <c r="MH40" s="898"/>
      <c r="MI40" s="898"/>
      <c r="MJ40" s="898"/>
      <c r="MK40" s="898"/>
      <c r="ML40" s="898"/>
      <c r="MM40" s="898"/>
      <c r="MN40" s="898"/>
      <c r="MO40" s="898"/>
      <c r="MP40" s="898"/>
      <c r="MQ40" s="898"/>
      <c r="MR40" s="898"/>
      <c r="MS40" s="898"/>
      <c r="MT40" s="898"/>
      <c r="MU40" s="898"/>
      <c r="MV40" s="898"/>
      <c r="MW40" s="898"/>
      <c r="MX40" s="898"/>
      <c r="MY40" s="898"/>
      <c r="MZ40" s="898"/>
      <c r="NA40" s="898"/>
      <c r="NB40" s="898"/>
      <c r="NC40" s="898"/>
      <c r="ND40" s="898"/>
      <c r="NE40" s="898"/>
      <c r="NF40" s="898"/>
      <c r="NG40" s="898"/>
      <c r="NH40" s="898"/>
      <c r="NI40" s="898"/>
      <c r="NJ40" s="898"/>
      <c r="NK40" s="898"/>
      <c r="NL40" s="898"/>
      <c r="NM40" s="898"/>
      <c r="NN40" s="898"/>
      <c r="NO40" s="898"/>
      <c r="NP40" s="898"/>
      <c r="NQ40" s="898"/>
      <c r="NR40" s="898"/>
      <c r="NS40" s="898"/>
      <c r="NT40" s="898"/>
      <c r="NU40" s="898"/>
      <c r="NV40" s="898"/>
      <c r="NW40" s="898"/>
      <c r="NX40" s="898"/>
      <c r="NY40" s="898"/>
      <c r="NZ40" s="898"/>
      <c r="OA40" s="898"/>
      <c r="OB40" s="898"/>
      <c r="OC40" s="898"/>
      <c r="OD40" s="898"/>
      <c r="OE40" s="898"/>
      <c r="OF40" s="898"/>
      <c r="OG40" s="898"/>
      <c r="OH40" s="898"/>
      <c r="OI40" s="898"/>
      <c r="OJ40" s="898"/>
      <c r="OK40" s="898"/>
      <c r="OL40" s="898"/>
      <c r="OM40" s="898"/>
      <c r="ON40" s="898"/>
      <c r="OO40" s="898"/>
      <c r="OP40" s="898"/>
      <c r="OQ40" s="898"/>
      <c r="OR40" s="898"/>
      <c r="OS40" s="898"/>
      <c r="OT40" s="898"/>
      <c r="OU40" s="898"/>
      <c r="OV40" s="898"/>
      <c r="OW40" s="898"/>
      <c r="OX40" s="898"/>
      <c r="OY40" s="898"/>
      <c r="OZ40" s="898"/>
      <c r="PA40" s="898"/>
      <c r="PB40" s="898"/>
      <c r="PC40" s="898"/>
      <c r="PD40" s="898"/>
      <c r="PE40" s="898"/>
      <c r="PF40" s="898"/>
      <c r="PG40" s="898"/>
      <c r="PH40" s="898"/>
      <c r="PI40" s="898"/>
      <c r="PJ40" s="898"/>
      <c r="PK40" s="898"/>
      <c r="PL40" s="898"/>
      <c r="PM40" s="898"/>
      <c r="PN40" s="898"/>
      <c r="PO40" s="898"/>
      <c r="PP40" s="898"/>
      <c r="PQ40" s="898"/>
      <c r="PR40" s="898"/>
      <c r="PS40" s="898"/>
      <c r="PT40" s="898"/>
      <c r="PU40" s="898"/>
      <c r="PV40" s="898"/>
      <c r="PW40" s="898"/>
      <c r="PX40" s="898"/>
      <c r="PY40" s="898"/>
      <c r="PZ40" s="898"/>
      <c r="QA40" s="898"/>
      <c r="QB40" s="898"/>
      <c r="QC40" s="898"/>
      <c r="QD40" s="898"/>
      <c r="QE40" s="898"/>
      <c r="QF40" s="898"/>
      <c r="QG40" s="898"/>
      <c r="QH40" s="898"/>
      <c r="QI40" s="898"/>
      <c r="QJ40" s="898"/>
      <c r="QK40" s="898"/>
      <c r="QL40" s="898"/>
      <c r="QM40" s="898"/>
      <c r="QN40" s="898"/>
      <c r="QO40" s="898"/>
      <c r="QP40" s="898"/>
      <c r="QQ40" s="898"/>
      <c r="QR40" s="898"/>
      <c r="QS40" s="898"/>
      <c r="QT40" s="898"/>
      <c r="QU40" s="898"/>
      <c r="QV40" s="898"/>
      <c r="QW40" s="898"/>
      <c r="QX40" s="898"/>
      <c r="QY40" s="898"/>
      <c r="QZ40" s="898"/>
      <c r="RA40" s="898"/>
      <c r="RB40" s="898"/>
      <c r="RC40" s="898"/>
      <c r="RD40" s="898"/>
      <c r="RE40" s="898"/>
      <c r="RF40" s="898"/>
      <c r="RG40" s="898"/>
      <c r="RH40" s="898"/>
      <c r="RI40" s="898"/>
      <c r="RJ40" s="898"/>
      <c r="RK40" s="898"/>
      <c r="RL40" s="898"/>
      <c r="RM40" s="898"/>
      <c r="RN40" s="898"/>
      <c r="RO40" s="898"/>
      <c r="RP40" s="898"/>
      <c r="RQ40" s="898"/>
      <c r="RR40" s="898"/>
      <c r="RS40" s="898"/>
      <c r="RT40" s="898"/>
      <c r="RU40" s="898"/>
      <c r="RV40" s="898"/>
      <c r="RW40" s="898"/>
      <c r="RX40" s="898"/>
    </row>
    <row r="41" spans="1:492" s="165" customFormat="1" ht="60">
      <c r="A41" s="175" t="s">
        <v>486</v>
      </c>
      <c r="B41" s="185" t="s">
        <v>487</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951"/>
      <c r="AN41" s="951"/>
      <c r="AO41" s="951"/>
      <c r="AP41" s="951"/>
      <c r="AQ41" s="948"/>
      <c r="AR41" s="951"/>
      <c r="AS41" s="951"/>
      <c r="AT41" s="951"/>
      <c r="AU41" s="951"/>
      <c r="AV41" s="951"/>
      <c r="AW41" s="951"/>
      <c r="AX41" s="951"/>
      <c r="AY41" s="951"/>
      <c r="AZ41" s="951"/>
      <c r="BA41" s="951"/>
      <c r="BB41" s="951"/>
      <c r="BC41" s="951"/>
      <c r="BD41" s="951"/>
      <c r="BE41" s="171"/>
      <c r="BF41" s="948"/>
      <c r="BG41" s="951"/>
      <c r="BH41" s="951"/>
      <c r="BI41" s="540"/>
      <c r="BJ41" s="541"/>
      <c r="BK41" s="948"/>
      <c r="BL41" s="951"/>
      <c r="BM41" s="951"/>
      <c r="BN41" s="540"/>
      <c r="BO41" s="541"/>
      <c r="BP41" s="948"/>
      <c r="BQ41" s="951"/>
      <c r="BR41" s="951"/>
      <c r="BS41" s="540"/>
      <c r="BT41" s="541"/>
      <c r="BU41" s="948"/>
      <c r="BV41" s="951"/>
      <c r="BW41" s="951"/>
      <c r="BX41" s="540"/>
      <c r="BY41" s="541"/>
      <c r="BZ41" s="948"/>
      <c r="CA41" s="945"/>
      <c r="CB41" s="945"/>
      <c r="CC41" s="945"/>
      <c r="CD41" s="945"/>
      <c r="CE41" s="945"/>
      <c r="CF41" s="945"/>
      <c r="CG41" s="945"/>
      <c r="CH41" s="945"/>
      <c r="CI41" s="945"/>
      <c r="CJ41" s="945"/>
      <c r="CK41" s="945"/>
      <c r="CL41" s="945"/>
      <c r="CM41" s="945"/>
      <c r="CN41" s="945"/>
      <c r="CO41" s="945"/>
      <c r="CP41" s="945"/>
      <c r="CQ41" s="945"/>
      <c r="CR41" s="945"/>
      <c r="CS41" s="945"/>
      <c r="CT41" s="945"/>
      <c r="CU41" s="945"/>
      <c r="CV41" s="945"/>
      <c r="CW41" s="945"/>
      <c r="CX41" s="945"/>
      <c r="CY41" s="945"/>
      <c r="CZ41" s="945"/>
      <c r="DA41" s="945"/>
      <c r="DB41" s="945"/>
      <c r="DC41" s="945"/>
      <c r="DD41" s="945"/>
      <c r="DE41" s="945"/>
      <c r="DF41" s="945"/>
      <c r="DG41" s="945"/>
      <c r="DH41" s="945"/>
      <c r="DI41" s="945"/>
      <c r="DJ41" s="945"/>
      <c r="DK41" s="945"/>
      <c r="DL41" s="945"/>
      <c r="DM41" s="945"/>
      <c r="DN41" s="945"/>
      <c r="DO41" s="945"/>
      <c r="DP41" s="945"/>
      <c r="DQ41" s="945"/>
      <c r="DR41" s="945"/>
      <c r="DS41" s="945"/>
      <c r="DT41" s="945"/>
      <c r="DU41" s="945"/>
      <c r="DV41" s="945"/>
      <c r="DW41" s="945"/>
      <c r="DX41" s="945"/>
      <c r="DY41" s="945"/>
      <c r="DZ41" s="945"/>
      <c r="EA41" s="945"/>
      <c r="EB41" s="945"/>
      <c r="EC41" s="945"/>
      <c r="ED41" s="945"/>
      <c r="EE41" s="945"/>
      <c r="EF41" s="945"/>
      <c r="EG41" s="945"/>
      <c r="EH41" s="945"/>
      <c r="EI41" s="945"/>
      <c r="EJ41" s="945"/>
      <c r="EK41" s="945"/>
      <c r="EL41" s="945"/>
      <c r="EM41" s="945"/>
      <c r="EN41" s="945"/>
      <c r="EO41" s="945"/>
      <c r="EP41" s="945"/>
      <c r="EQ41" s="945"/>
      <c r="ER41" s="945"/>
      <c r="ES41" s="945"/>
      <c r="ET41" s="945"/>
      <c r="EU41" s="945"/>
      <c r="EV41" s="945"/>
      <c r="EW41" s="945"/>
      <c r="EX41" s="945"/>
      <c r="EY41" s="945"/>
      <c r="EZ41" s="945"/>
      <c r="FA41" s="945"/>
      <c r="FB41" s="945"/>
      <c r="FC41" s="945"/>
      <c r="FD41" s="945"/>
      <c r="FE41" s="945"/>
      <c r="FF41" s="945"/>
      <c r="FG41" s="945"/>
      <c r="FH41" s="945"/>
      <c r="FI41" s="945"/>
      <c r="FJ41" s="945"/>
      <c r="FK41" s="945"/>
      <c r="FL41" s="945"/>
      <c r="FM41" s="945"/>
      <c r="FN41" s="945"/>
      <c r="FO41" s="945"/>
      <c r="FP41" s="945"/>
      <c r="FQ41" s="945"/>
      <c r="FR41" s="945"/>
      <c r="FS41" s="945"/>
      <c r="FT41" s="945"/>
      <c r="FU41" s="945"/>
      <c r="FV41" s="945"/>
      <c r="FW41" s="945"/>
      <c r="FX41" s="945"/>
      <c r="FY41" s="945"/>
      <c r="FZ41" s="945"/>
      <c r="GA41" s="945"/>
      <c r="GB41" s="945"/>
      <c r="GC41" s="945"/>
      <c r="GD41" s="945"/>
      <c r="GE41" s="945"/>
      <c r="GF41" s="945"/>
      <c r="GG41" s="945"/>
      <c r="GH41" s="945"/>
      <c r="GI41" s="945"/>
      <c r="GJ41" s="945"/>
      <c r="GK41" s="945"/>
      <c r="GL41" s="945"/>
      <c r="GM41" s="945"/>
      <c r="GN41" s="945"/>
      <c r="GO41" s="945"/>
      <c r="GP41" s="945"/>
      <c r="GQ41" s="945"/>
      <c r="GR41" s="945"/>
      <c r="GS41" s="945"/>
      <c r="GT41" s="945"/>
      <c r="GU41" s="945"/>
      <c r="GV41" s="945"/>
      <c r="GW41" s="945"/>
      <c r="GX41" s="945"/>
      <c r="GY41" s="945"/>
      <c r="GZ41" s="945"/>
      <c r="HA41" s="945"/>
      <c r="HB41" s="945"/>
      <c r="HC41" s="945"/>
      <c r="HD41" s="945"/>
      <c r="HE41" s="945"/>
      <c r="HF41" s="945"/>
      <c r="HG41" s="945"/>
      <c r="HH41" s="945"/>
      <c r="HI41" s="945"/>
      <c r="HJ41" s="945"/>
      <c r="HK41" s="945"/>
      <c r="HL41" s="945"/>
      <c r="HM41" s="945"/>
      <c r="HN41" s="945"/>
      <c r="HO41" s="945"/>
      <c r="HP41" s="945"/>
      <c r="HQ41" s="945"/>
      <c r="HR41" s="945"/>
      <c r="HS41" s="945"/>
      <c r="HT41" s="945"/>
      <c r="HU41" s="945"/>
      <c r="HV41" s="945"/>
      <c r="HW41" s="945"/>
      <c r="HX41" s="945"/>
      <c r="HY41" s="945"/>
      <c r="HZ41" s="945"/>
      <c r="IA41" s="945"/>
      <c r="IB41" s="945"/>
      <c r="IC41" s="945"/>
      <c r="ID41" s="945"/>
      <c r="IE41" s="945"/>
      <c r="IF41" s="945"/>
      <c r="IG41" s="945"/>
      <c r="IH41" s="945"/>
      <c r="II41" s="945"/>
      <c r="IJ41" s="945"/>
      <c r="IK41" s="945"/>
      <c r="IL41" s="945"/>
      <c r="IM41" s="945"/>
      <c r="IN41" s="945"/>
      <c r="IO41" s="945"/>
      <c r="IP41" s="945"/>
      <c r="IQ41" s="945"/>
      <c r="IR41" s="945"/>
      <c r="IS41" s="945"/>
      <c r="IT41" s="945"/>
      <c r="IU41" s="945"/>
      <c r="IV41" s="945"/>
      <c r="IW41" s="945"/>
      <c r="IX41" s="945"/>
      <c r="IY41" s="945"/>
      <c r="IZ41" s="945"/>
      <c r="JA41" s="945"/>
      <c r="JB41" s="945"/>
      <c r="JC41" s="945"/>
      <c r="JD41" s="945"/>
      <c r="JE41" s="945"/>
      <c r="JF41" s="945"/>
      <c r="JG41" s="945"/>
      <c r="JH41" s="945"/>
      <c r="JI41" s="945"/>
      <c r="JJ41" s="945"/>
      <c r="JK41" s="945"/>
      <c r="JL41" s="945"/>
      <c r="JM41" s="945"/>
      <c r="JN41" s="945"/>
      <c r="JO41" s="945"/>
      <c r="JP41" s="945"/>
      <c r="JQ41" s="945"/>
      <c r="JR41" s="945"/>
      <c r="JS41" s="945"/>
      <c r="JT41" s="945"/>
      <c r="JU41" s="945"/>
      <c r="JV41" s="945"/>
      <c r="JW41" s="945"/>
      <c r="JX41" s="945"/>
      <c r="JY41" s="945"/>
      <c r="JZ41" s="945"/>
      <c r="KA41" s="945"/>
      <c r="KB41" s="945"/>
      <c r="KC41" s="945"/>
      <c r="KD41" s="945"/>
      <c r="KE41" s="945"/>
      <c r="KF41" s="945"/>
      <c r="KG41" s="945"/>
      <c r="KH41" s="945"/>
      <c r="KI41" s="945"/>
      <c r="KJ41" s="945"/>
      <c r="KK41" s="945"/>
      <c r="KL41" s="945"/>
      <c r="KM41" s="945"/>
      <c r="KN41" s="945"/>
      <c r="KO41" s="945"/>
      <c r="KP41" s="945"/>
      <c r="KQ41" s="945"/>
      <c r="KR41" s="945"/>
      <c r="KS41" s="945"/>
      <c r="KT41" s="945"/>
      <c r="KU41" s="945"/>
      <c r="KV41" s="945"/>
      <c r="KW41" s="945"/>
      <c r="KX41" s="945"/>
      <c r="KY41" s="945"/>
      <c r="KZ41" s="945"/>
      <c r="LA41" s="945"/>
      <c r="LB41" s="945"/>
      <c r="LC41" s="945"/>
      <c r="LD41" s="945"/>
      <c r="LE41" s="945"/>
      <c r="LF41" s="945"/>
      <c r="LG41" s="945"/>
      <c r="LH41" s="945"/>
      <c r="LI41" s="945"/>
      <c r="LJ41" s="945"/>
      <c r="LK41" s="945"/>
      <c r="LL41" s="945"/>
      <c r="LM41" s="945"/>
      <c r="LN41" s="945"/>
      <c r="LO41" s="945"/>
      <c r="LP41" s="945"/>
      <c r="LQ41" s="945"/>
      <c r="LR41" s="945"/>
      <c r="LS41" s="945"/>
      <c r="LT41" s="945"/>
      <c r="LU41" s="945"/>
      <c r="LV41" s="945"/>
      <c r="LW41" s="945"/>
      <c r="LX41" s="945"/>
      <c r="LY41" s="945"/>
      <c r="LZ41" s="945"/>
      <c r="MA41" s="945"/>
      <c r="MB41" s="945"/>
      <c r="MC41" s="945"/>
      <c r="MD41" s="945"/>
      <c r="ME41" s="945"/>
      <c r="MF41" s="945"/>
      <c r="MG41" s="945"/>
      <c r="MH41" s="945"/>
      <c r="MI41" s="945"/>
      <c r="MJ41" s="945"/>
      <c r="MK41" s="945"/>
      <c r="ML41" s="945"/>
      <c r="MM41" s="945"/>
      <c r="MN41" s="945"/>
      <c r="MO41" s="945"/>
      <c r="MP41" s="945"/>
      <c r="MQ41" s="945"/>
      <c r="MR41" s="945"/>
      <c r="MS41" s="945"/>
      <c r="MT41" s="945"/>
      <c r="MU41" s="945"/>
      <c r="MV41" s="945"/>
      <c r="MW41" s="945"/>
      <c r="MX41" s="945"/>
      <c r="MY41" s="945"/>
      <c r="MZ41" s="945"/>
      <c r="NA41" s="945"/>
      <c r="NB41" s="945"/>
      <c r="NC41" s="945"/>
      <c r="ND41" s="945"/>
      <c r="NE41" s="945"/>
      <c r="NF41" s="945"/>
      <c r="NG41" s="945"/>
      <c r="NH41" s="945"/>
      <c r="NI41" s="945"/>
      <c r="NJ41" s="945"/>
      <c r="NK41" s="945"/>
      <c r="NL41" s="945"/>
      <c r="NM41" s="945"/>
      <c r="NN41" s="945"/>
      <c r="NO41" s="945"/>
      <c r="NP41" s="945"/>
      <c r="NQ41" s="945"/>
      <c r="NR41" s="945"/>
      <c r="NS41" s="945"/>
      <c r="NT41" s="945"/>
      <c r="NU41" s="945"/>
      <c r="NV41" s="945"/>
      <c r="NW41" s="945"/>
      <c r="NX41" s="945"/>
      <c r="NY41" s="945"/>
      <c r="NZ41" s="945"/>
      <c r="OA41" s="945"/>
      <c r="OB41" s="945"/>
      <c r="OC41" s="945"/>
      <c r="OD41" s="945"/>
      <c r="OE41" s="945"/>
      <c r="OF41" s="945"/>
      <c r="OG41" s="945"/>
      <c r="OH41" s="945"/>
      <c r="OI41" s="945"/>
      <c r="OJ41" s="945"/>
      <c r="OK41" s="945"/>
      <c r="OL41" s="945"/>
      <c r="OM41" s="945"/>
      <c r="ON41" s="945"/>
      <c r="OO41" s="945"/>
      <c r="OP41" s="945"/>
      <c r="OQ41" s="945"/>
      <c r="OR41" s="945"/>
      <c r="OS41" s="945"/>
      <c r="OT41" s="945"/>
      <c r="OU41" s="945"/>
      <c r="OV41" s="945"/>
      <c r="OW41" s="945"/>
      <c r="OX41" s="945"/>
      <c r="OY41" s="945"/>
      <c r="OZ41" s="945"/>
      <c r="PA41" s="945"/>
      <c r="PB41" s="945"/>
      <c r="PC41" s="945"/>
      <c r="PD41" s="945"/>
      <c r="PE41" s="945"/>
      <c r="PF41" s="945"/>
      <c r="PG41" s="945"/>
      <c r="PH41" s="945"/>
      <c r="PI41" s="945"/>
      <c r="PJ41" s="945"/>
      <c r="PK41" s="945"/>
      <c r="PL41" s="945"/>
      <c r="PM41" s="945"/>
      <c r="PN41" s="945"/>
      <c r="PO41" s="945"/>
      <c r="PP41" s="945"/>
      <c r="PQ41" s="945"/>
      <c r="PR41" s="945"/>
      <c r="PS41" s="945"/>
      <c r="PT41" s="945"/>
      <c r="PU41" s="945"/>
      <c r="PV41" s="945"/>
      <c r="PW41" s="945"/>
      <c r="PX41" s="945"/>
      <c r="PY41" s="945"/>
      <c r="PZ41" s="945"/>
      <c r="QA41" s="945"/>
      <c r="QB41" s="945"/>
      <c r="QC41" s="945"/>
      <c r="QD41" s="945"/>
      <c r="QE41" s="945"/>
      <c r="QF41" s="945"/>
      <c r="QG41" s="945"/>
      <c r="QH41" s="945"/>
      <c r="QI41" s="945"/>
      <c r="QJ41" s="945"/>
      <c r="QK41" s="945"/>
      <c r="QL41" s="945"/>
      <c r="QM41" s="945"/>
      <c r="QN41" s="945"/>
      <c r="QO41" s="945"/>
      <c r="QP41" s="945"/>
      <c r="QQ41" s="945"/>
      <c r="QR41" s="945"/>
      <c r="QS41" s="945"/>
      <c r="QT41" s="945"/>
      <c r="QU41" s="945"/>
      <c r="QV41" s="945"/>
      <c r="QW41" s="945"/>
      <c r="QX41" s="945"/>
      <c r="QY41" s="945"/>
      <c r="QZ41" s="945"/>
      <c r="RA41" s="945"/>
      <c r="RB41" s="945"/>
      <c r="RC41" s="945"/>
      <c r="RD41" s="945"/>
      <c r="RE41" s="945"/>
      <c r="RF41" s="945"/>
      <c r="RG41" s="945"/>
      <c r="RH41" s="945"/>
      <c r="RI41" s="945"/>
      <c r="RJ41" s="945"/>
      <c r="RK41" s="945"/>
      <c r="RL41" s="945"/>
      <c r="RM41" s="945"/>
      <c r="RN41" s="945"/>
      <c r="RO41" s="945"/>
      <c r="RP41" s="945"/>
      <c r="RQ41" s="945"/>
      <c r="RR41" s="945"/>
      <c r="RS41" s="945"/>
      <c r="RT41" s="945"/>
      <c r="RU41" s="945"/>
      <c r="RV41" s="945"/>
      <c r="RW41" s="945"/>
      <c r="RX41" s="945"/>
    </row>
    <row r="42" spans="1:492" s="165" customFormat="1">
      <c r="A42" s="148"/>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948"/>
      <c r="AN42" s="948"/>
      <c r="AO42" s="948"/>
      <c r="AP42" s="948"/>
      <c r="AQ42" s="948"/>
      <c r="AR42" s="948"/>
      <c r="AS42" s="948"/>
      <c r="AT42" s="948"/>
      <c r="AU42" s="948"/>
      <c r="AV42" s="948"/>
      <c r="AW42" s="948"/>
      <c r="AX42" s="948"/>
      <c r="AY42" s="948"/>
      <c r="AZ42" s="948"/>
      <c r="BA42" s="948"/>
      <c r="BB42" s="948"/>
      <c r="BC42" s="951"/>
      <c r="BD42" s="951"/>
      <c r="BE42" s="171"/>
      <c r="BF42" s="948"/>
      <c r="BG42" s="948"/>
      <c r="BH42" s="951"/>
      <c r="BI42" s="540"/>
      <c r="BJ42" s="171"/>
      <c r="BK42" s="948"/>
      <c r="BL42" s="948"/>
      <c r="BM42" s="951"/>
      <c r="BN42" s="540"/>
      <c r="BO42" s="171"/>
      <c r="BP42" s="948"/>
      <c r="BQ42" s="948"/>
      <c r="BR42" s="951"/>
      <c r="BS42" s="540"/>
      <c r="BT42" s="171"/>
      <c r="BU42" s="948"/>
      <c r="BV42" s="948"/>
      <c r="BW42" s="951"/>
      <c r="BX42" s="540"/>
      <c r="BY42" s="171"/>
      <c r="BZ42" s="948"/>
      <c r="CA42" s="945"/>
      <c r="CB42" s="945"/>
      <c r="CC42" s="945"/>
      <c r="CD42" s="945"/>
      <c r="CE42" s="945"/>
      <c r="CF42" s="945"/>
      <c r="CG42" s="945"/>
      <c r="CH42" s="945"/>
      <c r="CI42" s="945"/>
      <c r="CJ42" s="945"/>
      <c r="CK42" s="945"/>
      <c r="CL42" s="945"/>
      <c r="CM42" s="945"/>
      <c r="CN42" s="945"/>
      <c r="CO42" s="945"/>
      <c r="CP42" s="945"/>
      <c r="CQ42" s="945"/>
      <c r="CR42" s="945"/>
      <c r="CS42" s="945"/>
      <c r="CT42" s="945"/>
      <c r="CU42" s="945"/>
      <c r="CV42" s="945"/>
      <c r="CW42" s="945"/>
      <c r="CX42" s="945"/>
      <c r="CY42" s="945"/>
      <c r="CZ42" s="945"/>
      <c r="DA42" s="945"/>
      <c r="DB42" s="945"/>
      <c r="DC42" s="945"/>
      <c r="DD42" s="945"/>
      <c r="DE42" s="945"/>
      <c r="DF42" s="945"/>
      <c r="DG42" s="945"/>
      <c r="DH42" s="945"/>
      <c r="DI42" s="945"/>
      <c r="DJ42" s="945"/>
      <c r="DK42" s="945"/>
      <c r="DL42" s="945"/>
      <c r="DM42" s="945"/>
      <c r="DN42" s="945"/>
      <c r="DO42" s="945"/>
      <c r="DP42" s="945"/>
      <c r="DQ42" s="945"/>
      <c r="DR42" s="945"/>
      <c r="DS42" s="945"/>
      <c r="DT42" s="945"/>
      <c r="DU42" s="945"/>
      <c r="DV42" s="945"/>
      <c r="DW42" s="945"/>
      <c r="DX42" s="945"/>
      <c r="DY42" s="945"/>
      <c r="DZ42" s="945"/>
      <c r="EA42" s="945"/>
      <c r="EB42" s="945"/>
      <c r="EC42" s="945"/>
      <c r="ED42" s="945"/>
      <c r="EE42" s="945"/>
      <c r="EF42" s="945"/>
      <c r="EG42" s="945"/>
      <c r="EH42" s="945"/>
      <c r="EI42" s="945"/>
      <c r="EJ42" s="945"/>
      <c r="EK42" s="945"/>
      <c r="EL42" s="945"/>
      <c r="EM42" s="945"/>
      <c r="EN42" s="945"/>
      <c r="EO42" s="945"/>
      <c r="EP42" s="945"/>
      <c r="EQ42" s="945"/>
      <c r="ER42" s="945"/>
      <c r="ES42" s="945"/>
      <c r="ET42" s="945"/>
      <c r="EU42" s="945"/>
      <c r="EV42" s="945"/>
      <c r="EW42" s="945"/>
      <c r="EX42" s="945"/>
      <c r="EY42" s="945"/>
      <c r="EZ42" s="945"/>
      <c r="FA42" s="945"/>
      <c r="FB42" s="945"/>
      <c r="FC42" s="945"/>
      <c r="FD42" s="945"/>
      <c r="FE42" s="945"/>
      <c r="FF42" s="945"/>
      <c r="FG42" s="945"/>
      <c r="FH42" s="945"/>
      <c r="FI42" s="945"/>
      <c r="FJ42" s="945"/>
      <c r="FK42" s="945"/>
      <c r="FL42" s="945"/>
      <c r="FM42" s="945"/>
      <c r="FN42" s="945"/>
      <c r="FO42" s="945"/>
      <c r="FP42" s="945"/>
      <c r="FQ42" s="945"/>
      <c r="FR42" s="945"/>
      <c r="FS42" s="945"/>
      <c r="FT42" s="945"/>
      <c r="FU42" s="945"/>
      <c r="FV42" s="945"/>
      <c r="FW42" s="945"/>
      <c r="FX42" s="945"/>
      <c r="FY42" s="945"/>
      <c r="FZ42" s="945"/>
      <c r="GA42" s="945"/>
      <c r="GB42" s="945"/>
      <c r="GC42" s="945"/>
      <c r="GD42" s="945"/>
      <c r="GE42" s="945"/>
      <c r="GF42" s="945"/>
      <c r="GG42" s="945"/>
      <c r="GH42" s="945"/>
      <c r="GI42" s="945"/>
      <c r="GJ42" s="945"/>
      <c r="GK42" s="945"/>
      <c r="GL42" s="945"/>
      <c r="GM42" s="945"/>
      <c r="GN42" s="945"/>
      <c r="GO42" s="945"/>
      <c r="GP42" s="945"/>
      <c r="GQ42" s="945"/>
      <c r="GR42" s="945"/>
      <c r="GS42" s="945"/>
      <c r="GT42" s="945"/>
      <c r="GU42" s="945"/>
      <c r="GV42" s="945"/>
      <c r="GW42" s="945"/>
      <c r="GX42" s="945"/>
      <c r="GY42" s="945"/>
      <c r="GZ42" s="945"/>
      <c r="HA42" s="945"/>
      <c r="HB42" s="945"/>
      <c r="HC42" s="945"/>
      <c r="HD42" s="945"/>
      <c r="HE42" s="945"/>
      <c r="HF42" s="945"/>
      <c r="HG42" s="945"/>
      <c r="HH42" s="945"/>
      <c r="HI42" s="945"/>
      <c r="HJ42" s="945"/>
      <c r="HK42" s="945"/>
      <c r="HL42" s="945"/>
      <c r="HM42" s="945"/>
      <c r="HN42" s="945"/>
      <c r="HO42" s="945"/>
      <c r="HP42" s="945"/>
      <c r="HQ42" s="945"/>
      <c r="HR42" s="945"/>
      <c r="HS42" s="945"/>
      <c r="HT42" s="945"/>
      <c r="HU42" s="945"/>
      <c r="HV42" s="945"/>
      <c r="HW42" s="945"/>
      <c r="HX42" s="945"/>
      <c r="HY42" s="945"/>
      <c r="HZ42" s="945"/>
      <c r="IA42" s="945"/>
      <c r="IB42" s="945"/>
      <c r="IC42" s="945"/>
      <c r="ID42" s="945"/>
      <c r="IE42" s="945"/>
      <c r="IF42" s="945"/>
      <c r="IG42" s="945"/>
      <c r="IH42" s="945"/>
      <c r="II42" s="945"/>
      <c r="IJ42" s="945"/>
      <c r="IK42" s="945"/>
      <c r="IL42" s="945"/>
      <c r="IM42" s="945"/>
      <c r="IN42" s="945"/>
      <c r="IO42" s="945"/>
      <c r="IP42" s="945"/>
      <c r="IQ42" s="945"/>
      <c r="IR42" s="945"/>
      <c r="IS42" s="945"/>
      <c r="IT42" s="945"/>
      <c r="IU42" s="945"/>
      <c r="IV42" s="945"/>
      <c r="IW42" s="945"/>
      <c r="IX42" s="945"/>
      <c r="IY42" s="945"/>
      <c r="IZ42" s="945"/>
      <c r="JA42" s="945"/>
      <c r="JB42" s="945"/>
      <c r="JC42" s="945"/>
      <c r="JD42" s="945"/>
      <c r="JE42" s="945"/>
      <c r="JF42" s="945"/>
      <c r="JG42" s="945"/>
      <c r="JH42" s="945"/>
      <c r="JI42" s="945"/>
      <c r="JJ42" s="945"/>
      <c r="JK42" s="945"/>
      <c r="JL42" s="945"/>
      <c r="JM42" s="945"/>
      <c r="JN42" s="945"/>
      <c r="JO42" s="945"/>
      <c r="JP42" s="945"/>
      <c r="JQ42" s="945"/>
      <c r="JR42" s="945"/>
      <c r="JS42" s="945"/>
      <c r="JT42" s="945"/>
      <c r="JU42" s="945"/>
      <c r="JV42" s="945"/>
      <c r="JW42" s="945"/>
      <c r="JX42" s="945"/>
      <c r="JY42" s="945"/>
      <c r="JZ42" s="945"/>
      <c r="KA42" s="945"/>
      <c r="KB42" s="945"/>
      <c r="KC42" s="945"/>
      <c r="KD42" s="945"/>
      <c r="KE42" s="945"/>
      <c r="KF42" s="945"/>
      <c r="KG42" s="945"/>
      <c r="KH42" s="945"/>
      <c r="KI42" s="945"/>
      <c r="KJ42" s="945"/>
      <c r="KK42" s="945"/>
      <c r="KL42" s="945"/>
      <c r="KM42" s="945"/>
      <c r="KN42" s="945"/>
      <c r="KO42" s="945"/>
      <c r="KP42" s="945"/>
      <c r="KQ42" s="945"/>
      <c r="KR42" s="945"/>
      <c r="KS42" s="945"/>
      <c r="KT42" s="945"/>
      <c r="KU42" s="945"/>
      <c r="KV42" s="945"/>
      <c r="KW42" s="945"/>
      <c r="KX42" s="945"/>
      <c r="KY42" s="945"/>
      <c r="KZ42" s="945"/>
      <c r="LA42" s="945"/>
      <c r="LB42" s="945"/>
      <c r="LC42" s="945"/>
      <c r="LD42" s="945"/>
      <c r="LE42" s="945"/>
      <c r="LF42" s="945"/>
      <c r="LG42" s="945"/>
      <c r="LH42" s="945"/>
      <c r="LI42" s="945"/>
      <c r="LJ42" s="945"/>
      <c r="LK42" s="945"/>
      <c r="LL42" s="945"/>
      <c r="LM42" s="945"/>
      <c r="LN42" s="945"/>
      <c r="LO42" s="945"/>
      <c r="LP42" s="945"/>
      <c r="LQ42" s="945"/>
      <c r="LR42" s="945"/>
      <c r="LS42" s="945"/>
      <c r="LT42" s="945"/>
      <c r="LU42" s="945"/>
      <c r="LV42" s="945"/>
      <c r="LW42" s="945"/>
      <c r="LX42" s="945"/>
      <c r="LY42" s="945"/>
      <c r="LZ42" s="945"/>
      <c r="MA42" s="945"/>
      <c r="MB42" s="945"/>
      <c r="MC42" s="945"/>
      <c r="MD42" s="945"/>
      <c r="ME42" s="945"/>
      <c r="MF42" s="945"/>
      <c r="MG42" s="945"/>
      <c r="MH42" s="945"/>
      <c r="MI42" s="945"/>
      <c r="MJ42" s="945"/>
      <c r="MK42" s="945"/>
      <c r="ML42" s="945"/>
      <c r="MM42" s="945"/>
      <c r="MN42" s="945"/>
      <c r="MO42" s="945"/>
      <c r="MP42" s="945"/>
      <c r="MQ42" s="945"/>
      <c r="MR42" s="945"/>
      <c r="MS42" s="945"/>
      <c r="MT42" s="945"/>
      <c r="MU42" s="945"/>
      <c r="MV42" s="945"/>
      <c r="MW42" s="945"/>
      <c r="MX42" s="945"/>
      <c r="MY42" s="945"/>
      <c r="MZ42" s="945"/>
      <c r="NA42" s="945"/>
      <c r="NB42" s="945"/>
      <c r="NC42" s="945"/>
      <c r="ND42" s="945"/>
      <c r="NE42" s="945"/>
      <c r="NF42" s="945"/>
      <c r="NG42" s="945"/>
      <c r="NH42" s="945"/>
      <c r="NI42" s="945"/>
      <c r="NJ42" s="945"/>
      <c r="NK42" s="945"/>
      <c r="NL42" s="945"/>
      <c r="NM42" s="945"/>
      <c r="NN42" s="945"/>
      <c r="NO42" s="945"/>
      <c r="NP42" s="945"/>
      <c r="NQ42" s="945"/>
      <c r="NR42" s="945"/>
      <c r="NS42" s="945"/>
      <c r="NT42" s="945"/>
      <c r="NU42" s="945"/>
      <c r="NV42" s="945"/>
      <c r="NW42" s="945"/>
      <c r="NX42" s="945"/>
      <c r="NY42" s="945"/>
      <c r="NZ42" s="945"/>
      <c r="OA42" s="945"/>
      <c r="OB42" s="945"/>
      <c r="OC42" s="945"/>
      <c r="OD42" s="945"/>
      <c r="OE42" s="945"/>
      <c r="OF42" s="945"/>
      <c r="OG42" s="945"/>
      <c r="OH42" s="945"/>
      <c r="OI42" s="945"/>
      <c r="OJ42" s="945"/>
      <c r="OK42" s="945"/>
      <c r="OL42" s="945"/>
      <c r="OM42" s="945"/>
      <c r="ON42" s="945"/>
      <c r="OO42" s="945"/>
      <c r="OP42" s="945"/>
      <c r="OQ42" s="945"/>
      <c r="OR42" s="945"/>
      <c r="OS42" s="945"/>
      <c r="OT42" s="945"/>
      <c r="OU42" s="945"/>
      <c r="OV42" s="945"/>
      <c r="OW42" s="945"/>
      <c r="OX42" s="945"/>
      <c r="OY42" s="945"/>
      <c r="OZ42" s="945"/>
      <c r="PA42" s="945"/>
      <c r="PB42" s="945"/>
      <c r="PC42" s="945"/>
      <c r="PD42" s="945"/>
      <c r="PE42" s="945"/>
      <c r="PF42" s="945"/>
      <c r="PG42" s="945"/>
      <c r="PH42" s="945"/>
      <c r="PI42" s="945"/>
      <c r="PJ42" s="945"/>
      <c r="PK42" s="945"/>
      <c r="PL42" s="945"/>
      <c r="PM42" s="945"/>
      <c r="PN42" s="945"/>
      <c r="PO42" s="945"/>
      <c r="PP42" s="945"/>
      <c r="PQ42" s="945"/>
      <c r="PR42" s="945"/>
      <c r="PS42" s="945"/>
      <c r="PT42" s="945"/>
      <c r="PU42" s="945"/>
      <c r="PV42" s="945"/>
      <c r="PW42" s="945"/>
      <c r="PX42" s="945"/>
      <c r="PY42" s="945"/>
      <c r="PZ42" s="945"/>
      <c r="QA42" s="945"/>
      <c r="QB42" s="945"/>
      <c r="QC42" s="945"/>
      <c r="QD42" s="945"/>
      <c r="QE42" s="945"/>
      <c r="QF42" s="945"/>
      <c r="QG42" s="945"/>
      <c r="QH42" s="945"/>
      <c r="QI42" s="945"/>
      <c r="QJ42" s="945"/>
      <c r="QK42" s="945"/>
      <c r="QL42" s="945"/>
      <c r="QM42" s="945"/>
      <c r="QN42" s="945"/>
      <c r="QO42" s="945"/>
      <c r="QP42" s="945"/>
      <c r="QQ42" s="945"/>
      <c r="QR42" s="945"/>
      <c r="QS42" s="945"/>
      <c r="QT42" s="945"/>
      <c r="QU42" s="945"/>
      <c r="QV42" s="945"/>
      <c r="QW42" s="945"/>
      <c r="QX42" s="945"/>
      <c r="QY42" s="945"/>
      <c r="QZ42" s="945"/>
      <c r="RA42" s="945"/>
      <c r="RB42" s="945"/>
      <c r="RC42" s="945"/>
      <c r="RD42" s="945"/>
      <c r="RE42" s="945"/>
      <c r="RF42" s="945"/>
      <c r="RG42" s="945"/>
      <c r="RH42" s="945"/>
      <c r="RI42" s="945"/>
      <c r="RJ42" s="945"/>
      <c r="RK42" s="945"/>
      <c r="RL42" s="945"/>
      <c r="RM42" s="945"/>
      <c r="RN42" s="945"/>
      <c r="RO42" s="945"/>
      <c r="RP42" s="945"/>
      <c r="RQ42" s="945"/>
      <c r="RR42" s="945"/>
      <c r="RS42" s="945"/>
      <c r="RT42" s="945"/>
      <c r="RU42" s="945"/>
      <c r="RV42" s="945"/>
      <c r="RW42" s="945"/>
      <c r="RX42" s="945"/>
    </row>
    <row r="43" spans="1:492" s="165" customFormat="1">
      <c r="A43" s="945"/>
      <c r="B43" s="945"/>
      <c r="C43" s="945"/>
      <c r="D43" s="945"/>
      <c r="E43" s="945"/>
      <c r="F43" s="945"/>
      <c r="G43" s="945"/>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51"/>
      <c r="AN43" s="951"/>
      <c r="AO43" s="951"/>
      <c r="AP43" s="172"/>
      <c r="AQ43" s="948"/>
      <c r="AR43" s="948"/>
      <c r="AS43" s="948"/>
      <c r="AT43" s="948"/>
      <c r="AU43" s="948"/>
      <c r="AV43" s="948"/>
      <c r="AW43" s="951"/>
      <c r="AX43" s="951"/>
      <c r="AY43" s="951"/>
      <c r="AZ43" s="951"/>
      <c r="BA43" s="948"/>
      <c r="BB43" s="948"/>
      <c r="BC43" s="948"/>
      <c r="BD43" s="948"/>
      <c r="BE43" s="948"/>
      <c r="BF43" s="948"/>
      <c r="BG43" s="948"/>
      <c r="BH43" s="948"/>
      <c r="BI43" s="948"/>
      <c r="BJ43" s="948"/>
      <c r="BK43" s="948"/>
      <c r="BL43" s="948"/>
      <c r="BM43" s="948"/>
      <c r="BN43" s="948"/>
      <c r="BO43" s="948"/>
      <c r="BP43" s="948"/>
      <c r="BQ43" s="948"/>
      <c r="BR43" s="948"/>
      <c r="BS43" s="948"/>
      <c r="BT43" s="948"/>
      <c r="BU43" s="948"/>
      <c r="BV43" s="948"/>
      <c r="BW43" s="948"/>
      <c r="BX43" s="948"/>
      <c r="BY43" s="948"/>
      <c r="BZ43" s="948"/>
      <c r="CA43" s="945"/>
      <c r="CB43" s="945"/>
      <c r="CC43" s="945"/>
      <c r="CD43" s="945"/>
      <c r="CE43" s="945"/>
      <c r="CF43" s="945"/>
      <c r="CG43" s="945"/>
      <c r="CH43" s="945"/>
      <c r="CI43" s="945"/>
      <c r="CJ43" s="945"/>
      <c r="CK43" s="945"/>
      <c r="CL43" s="945"/>
      <c r="CM43" s="945"/>
      <c r="CN43" s="945"/>
      <c r="CO43" s="945"/>
      <c r="CP43" s="945"/>
      <c r="CQ43" s="945"/>
      <c r="CR43" s="945"/>
      <c r="CS43" s="945"/>
      <c r="CT43" s="945"/>
      <c r="CU43" s="945"/>
      <c r="CV43" s="945"/>
      <c r="CW43" s="945"/>
      <c r="CX43" s="945"/>
      <c r="CY43" s="945"/>
      <c r="CZ43" s="945"/>
      <c r="DA43" s="945"/>
      <c r="DB43" s="945"/>
      <c r="DC43" s="945"/>
      <c r="DD43" s="945"/>
      <c r="DE43" s="945"/>
      <c r="DF43" s="945"/>
      <c r="DG43" s="945"/>
      <c r="DH43" s="945"/>
      <c r="DI43" s="945"/>
      <c r="DJ43" s="945"/>
      <c r="DK43" s="945"/>
      <c r="DL43" s="945"/>
      <c r="DM43" s="945"/>
      <c r="DN43" s="945"/>
      <c r="DO43" s="945"/>
      <c r="DP43" s="945"/>
      <c r="DQ43" s="945"/>
      <c r="DR43" s="945"/>
      <c r="DS43" s="945"/>
      <c r="DT43" s="945"/>
      <c r="DU43" s="945"/>
      <c r="DV43" s="945"/>
      <c r="DW43" s="945"/>
      <c r="DX43" s="945"/>
      <c r="DY43" s="945"/>
      <c r="DZ43" s="945"/>
      <c r="EA43" s="945"/>
      <c r="EB43" s="945"/>
      <c r="EC43" s="945"/>
      <c r="ED43" s="945"/>
      <c r="EE43" s="945"/>
      <c r="EF43" s="945"/>
      <c r="EG43" s="945"/>
      <c r="EH43" s="945"/>
      <c r="EI43" s="945"/>
      <c r="EJ43" s="945"/>
      <c r="EK43" s="945"/>
      <c r="EL43" s="945"/>
      <c r="EM43" s="945"/>
      <c r="EN43" s="945"/>
      <c r="EO43" s="945"/>
      <c r="EP43" s="945"/>
      <c r="EQ43" s="945"/>
      <c r="ER43" s="945"/>
      <c r="ES43" s="945"/>
      <c r="ET43" s="945"/>
      <c r="EU43" s="945"/>
      <c r="EV43" s="945"/>
      <c r="EW43" s="945"/>
      <c r="EX43" s="945"/>
      <c r="EY43" s="945"/>
      <c r="EZ43" s="945"/>
      <c r="FA43" s="945"/>
      <c r="FB43" s="945"/>
      <c r="FC43" s="945"/>
      <c r="FD43" s="945"/>
      <c r="FE43" s="945"/>
      <c r="FF43" s="945"/>
      <c r="FG43" s="945"/>
      <c r="FH43" s="945"/>
      <c r="FI43" s="945"/>
      <c r="FJ43" s="945"/>
      <c r="FK43" s="945"/>
      <c r="FL43" s="945"/>
      <c r="FM43" s="945"/>
      <c r="FN43" s="945"/>
      <c r="FO43" s="945"/>
      <c r="FP43" s="945"/>
      <c r="FQ43" s="945"/>
      <c r="FR43" s="945"/>
      <c r="FS43" s="945"/>
      <c r="FT43" s="945"/>
      <c r="FU43" s="945"/>
      <c r="FV43" s="945"/>
      <c r="FW43" s="945"/>
      <c r="FX43" s="945"/>
      <c r="FY43" s="945"/>
      <c r="FZ43" s="945"/>
      <c r="GA43" s="945"/>
      <c r="GB43" s="945"/>
      <c r="GC43" s="945"/>
      <c r="GD43" s="945"/>
      <c r="GE43" s="945"/>
      <c r="GF43" s="945"/>
      <c r="GG43" s="945"/>
      <c r="GH43" s="945"/>
      <c r="GI43" s="945"/>
      <c r="GJ43" s="945"/>
      <c r="GK43" s="945"/>
      <c r="GL43" s="945"/>
      <c r="GM43" s="945"/>
      <c r="GN43" s="945"/>
      <c r="GO43" s="945"/>
      <c r="GP43" s="945"/>
      <c r="GQ43" s="945"/>
      <c r="GR43" s="945"/>
      <c r="GS43" s="945"/>
      <c r="GT43" s="945"/>
      <c r="GU43" s="945"/>
      <c r="GV43" s="945"/>
      <c r="GW43" s="945"/>
      <c r="GX43" s="945"/>
      <c r="GY43" s="945"/>
      <c r="GZ43" s="945"/>
      <c r="HA43" s="945"/>
      <c r="HB43" s="945"/>
      <c r="HC43" s="945"/>
      <c r="HD43" s="945"/>
      <c r="HE43" s="945"/>
      <c r="HF43" s="945"/>
      <c r="HG43" s="945"/>
      <c r="HH43" s="945"/>
      <c r="HI43" s="945"/>
      <c r="HJ43" s="945"/>
      <c r="HK43" s="945"/>
      <c r="HL43" s="945"/>
      <c r="HM43" s="945"/>
      <c r="HN43" s="945"/>
      <c r="HO43" s="945"/>
      <c r="HP43" s="945"/>
      <c r="HQ43" s="945"/>
      <c r="HR43" s="945"/>
      <c r="HS43" s="945"/>
      <c r="HT43" s="945"/>
      <c r="HU43" s="945"/>
      <c r="HV43" s="945"/>
      <c r="HW43" s="945"/>
      <c r="HX43" s="945"/>
      <c r="HY43" s="945"/>
      <c r="HZ43" s="945"/>
      <c r="IA43" s="945"/>
      <c r="IB43" s="945"/>
      <c r="IC43" s="945"/>
      <c r="ID43" s="945"/>
      <c r="IE43" s="945"/>
      <c r="IF43" s="945"/>
      <c r="IG43" s="945"/>
      <c r="IH43" s="945"/>
      <c r="II43" s="945"/>
      <c r="IJ43" s="945"/>
      <c r="IK43" s="945"/>
      <c r="IL43" s="945"/>
      <c r="IM43" s="945"/>
      <c r="IN43" s="945"/>
      <c r="IO43" s="945"/>
      <c r="IP43" s="945"/>
      <c r="IQ43" s="945"/>
      <c r="IR43" s="945"/>
      <c r="IS43" s="945"/>
      <c r="IT43" s="945"/>
      <c r="IU43" s="945"/>
      <c r="IV43" s="945"/>
      <c r="IW43" s="945"/>
      <c r="IX43" s="945"/>
      <c r="IY43" s="945"/>
      <c r="IZ43" s="945"/>
      <c r="JA43" s="945"/>
      <c r="JB43" s="945"/>
      <c r="JC43" s="945"/>
      <c r="JD43" s="945"/>
      <c r="JE43" s="945"/>
      <c r="JF43" s="945"/>
      <c r="JG43" s="945"/>
      <c r="JH43" s="945"/>
      <c r="JI43" s="945"/>
      <c r="JJ43" s="945"/>
      <c r="JK43" s="945"/>
      <c r="JL43" s="945"/>
      <c r="JM43" s="945"/>
      <c r="JN43" s="945"/>
      <c r="JO43" s="945"/>
      <c r="JP43" s="945"/>
      <c r="JQ43" s="945"/>
      <c r="JR43" s="945"/>
      <c r="JS43" s="945"/>
      <c r="JT43" s="945"/>
      <c r="JU43" s="945"/>
      <c r="JV43" s="945"/>
      <c r="JW43" s="945"/>
      <c r="JX43" s="945"/>
      <c r="JY43" s="945"/>
      <c r="JZ43" s="945"/>
      <c r="KA43" s="945"/>
      <c r="KB43" s="945"/>
      <c r="KC43" s="945"/>
      <c r="KD43" s="945"/>
      <c r="KE43" s="945"/>
      <c r="KF43" s="945"/>
      <c r="KG43" s="945"/>
      <c r="KH43" s="945"/>
      <c r="KI43" s="945"/>
      <c r="KJ43" s="945"/>
      <c r="KK43" s="945"/>
      <c r="KL43" s="945"/>
      <c r="KM43" s="945"/>
      <c r="KN43" s="945"/>
      <c r="KO43" s="945"/>
      <c r="KP43" s="945"/>
      <c r="KQ43" s="945"/>
      <c r="KR43" s="945"/>
      <c r="KS43" s="945"/>
      <c r="KT43" s="945"/>
      <c r="KU43" s="945"/>
      <c r="KV43" s="945"/>
      <c r="KW43" s="945"/>
      <c r="KX43" s="945"/>
      <c r="KY43" s="945"/>
      <c r="KZ43" s="945"/>
      <c r="LA43" s="945"/>
      <c r="LB43" s="945"/>
      <c r="LC43" s="945"/>
      <c r="LD43" s="945"/>
      <c r="LE43" s="945"/>
      <c r="LF43" s="945"/>
      <c r="LG43" s="945"/>
      <c r="LH43" s="945"/>
      <c r="LI43" s="945"/>
      <c r="LJ43" s="945"/>
      <c r="LK43" s="945"/>
      <c r="LL43" s="945"/>
      <c r="LM43" s="945"/>
      <c r="LN43" s="945"/>
      <c r="LO43" s="945"/>
      <c r="LP43" s="945"/>
      <c r="LQ43" s="945"/>
      <c r="LR43" s="945"/>
      <c r="LS43" s="945"/>
      <c r="LT43" s="945"/>
      <c r="LU43" s="945"/>
      <c r="LV43" s="945"/>
      <c r="LW43" s="945"/>
      <c r="LX43" s="945"/>
      <c r="LY43" s="945"/>
      <c r="LZ43" s="945"/>
      <c r="MA43" s="945"/>
      <c r="MB43" s="945"/>
      <c r="MC43" s="945"/>
      <c r="MD43" s="945"/>
      <c r="ME43" s="945"/>
      <c r="MF43" s="945"/>
      <c r="MG43" s="945"/>
      <c r="MH43" s="945"/>
      <c r="MI43" s="945"/>
      <c r="MJ43" s="945"/>
      <c r="MK43" s="945"/>
      <c r="ML43" s="945"/>
      <c r="MM43" s="945"/>
      <c r="MN43" s="945"/>
      <c r="MO43" s="945"/>
      <c r="MP43" s="945"/>
      <c r="MQ43" s="945"/>
      <c r="MR43" s="945"/>
      <c r="MS43" s="945"/>
      <c r="MT43" s="945"/>
      <c r="MU43" s="945"/>
      <c r="MV43" s="945"/>
      <c r="MW43" s="945"/>
      <c r="MX43" s="945"/>
      <c r="MY43" s="945"/>
      <c r="MZ43" s="945"/>
      <c r="NA43" s="945"/>
      <c r="NB43" s="945"/>
      <c r="NC43" s="945"/>
      <c r="ND43" s="945"/>
      <c r="NE43" s="945"/>
      <c r="NF43" s="945"/>
      <c r="NG43" s="945"/>
      <c r="NH43" s="945"/>
      <c r="NI43" s="945"/>
      <c r="NJ43" s="945"/>
      <c r="NK43" s="945"/>
      <c r="NL43" s="945"/>
      <c r="NM43" s="945"/>
      <c r="NN43" s="945"/>
      <c r="NO43" s="945"/>
      <c r="NP43" s="945"/>
      <c r="NQ43" s="945"/>
      <c r="NR43" s="945"/>
      <c r="NS43" s="945"/>
      <c r="NT43" s="945"/>
      <c r="NU43" s="945"/>
      <c r="NV43" s="945"/>
      <c r="NW43" s="945"/>
      <c r="NX43" s="945"/>
      <c r="NY43" s="945"/>
      <c r="NZ43" s="945"/>
      <c r="OA43" s="945"/>
      <c r="OB43" s="945"/>
      <c r="OC43" s="945"/>
      <c r="OD43" s="945"/>
      <c r="OE43" s="945"/>
      <c r="OF43" s="945"/>
      <c r="OG43" s="945"/>
      <c r="OH43" s="945"/>
      <c r="OI43" s="945"/>
      <c r="OJ43" s="945"/>
      <c r="OK43" s="945"/>
      <c r="OL43" s="945"/>
      <c r="OM43" s="945"/>
      <c r="ON43" s="945"/>
      <c r="OO43" s="945"/>
      <c r="OP43" s="945"/>
      <c r="OQ43" s="945"/>
      <c r="OR43" s="945"/>
      <c r="OS43" s="945"/>
      <c r="OT43" s="945"/>
      <c r="OU43" s="945"/>
      <c r="OV43" s="945"/>
      <c r="OW43" s="945"/>
      <c r="OX43" s="945"/>
      <c r="OY43" s="945"/>
      <c r="OZ43" s="945"/>
      <c r="PA43" s="945"/>
      <c r="PB43" s="945"/>
      <c r="PC43" s="945"/>
      <c r="PD43" s="945"/>
      <c r="PE43" s="945"/>
      <c r="PF43" s="945"/>
      <c r="PG43" s="945"/>
      <c r="PH43" s="945"/>
      <c r="PI43" s="945"/>
      <c r="PJ43" s="945"/>
      <c r="PK43" s="945"/>
      <c r="PL43" s="945"/>
      <c r="PM43" s="945"/>
      <c r="PN43" s="945"/>
      <c r="PO43" s="945"/>
      <c r="PP43" s="945"/>
      <c r="PQ43" s="945"/>
      <c r="PR43" s="945"/>
      <c r="PS43" s="945"/>
      <c r="PT43" s="945"/>
      <c r="PU43" s="945"/>
      <c r="PV43" s="945"/>
      <c r="PW43" s="945"/>
      <c r="PX43" s="945"/>
      <c r="PY43" s="945"/>
      <c r="PZ43" s="945"/>
      <c r="QA43" s="945"/>
      <c r="QB43" s="945"/>
      <c r="QC43" s="945"/>
      <c r="QD43" s="945"/>
      <c r="QE43" s="945"/>
      <c r="QF43" s="945"/>
      <c r="QG43" s="945"/>
      <c r="QH43" s="945"/>
      <c r="QI43" s="945"/>
      <c r="QJ43" s="945"/>
      <c r="QK43" s="945"/>
      <c r="QL43" s="945"/>
      <c r="QM43" s="945"/>
      <c r="QN43" s="945"/>
      <c r="QO43" s="945"/>
      <c r="QP43" s="945"/>
      <c r="QQ43" s="945"/>
      <c r="QR43" s="945"/>
      <c r="QS43" s="945"/>
      <c r="QT43" s="945"/>
      <c r="QU43" s="945"/>
      <c r="QV43" s="945"/>
      <c r="QW43" s="945"/>
      <c r="QX43" s="945"/>
      <c r="QY43" s="945"/>
      <c r="QZ43" s="945"/>
      <c r="RA43" s="945"/>
      <c r="RB43" s="945"/>
      <c r="RC43" s="945"/>
      <c r="RD43" s="945"/>
      <c r="RE43" s="945"/>
      <c r="RF43" s="945"/>
      <c r="RG43" s="945"/>
      <c r="RH43" s="945"/>
      <c r="RI43" s="945"/>
      <c r="RJ43" s="945"/>
      <c r="RK43" s="945"/>
      <c r="RL43" s="945"/>
      <c r="RM43" s="945"/>
      <c r="RN43" s="945"/>
      <c r="RO43" s="945"/>
      <c r="RP43" s="945"/>
      <c r="RQ43" s="945"/>
      <c r="RR43" s="945"/>
      <c r="RS43" s="945"/>
      <c r="RT43" s="945"/>
      <c r="RU43" s="945"/>
      <c r="RV43" s="945"/>
      <c r="RW43" s="945"/>
      <c r="RX43" s="945"/>
    </row>
    <row r="44" spans="1:492" s="165" customFormat="1">
      <c r="A44" s="945"/>
      <c r="B44" s="945"/>
      <c r="C44" s="945"/>
      <c r="D44" s="945"/>
      <c r="E44" s="945"/>
      <c r="F44" s="945"/>
      <c r="G44" s="945"/>
      <c r="H44" s="945"/>
      <c r="I44" s="945"/>
      <c r="J44" s="945"/>
      <c r="K44" s="945"/>
      <c r="L44" s="945"/>
      <c r="M44" s="945"/>
      <c r="N44" s="945"/>
      <c r="O44" s="945"/>
      <c r="P44" s="945"/>
      <c r="Q44" s="945"/>
      <c r="R44" s="945"/>
      <c r="S44" s="945"/>
      <c r="T44" s="945"/>
      <c r="U44" s="945"/>
      <c r="V44" s="945"/>
      <c r="W44" s="945"/>
      <c r="X44" s="945"/>
      <c r="Y44" s="945"/>
      <c r="Z44" s="945"/>
      <c r="AA44" s="945"/>
      <c r="AB44" s="945"/>
      <c r="AC44" s="945"/>
      <c r="AD44" s="945"/>
      <c r="AE44" s="945"/>
      <c r="AF44" s="945"/>
      <c r="AG44" s="945"/>
      <c r="AH44" s="945"/>
      <c r="AI44" s="945"/>
      <c r="AJ44" s="945"/>
      <c r="AK44" s="945"/>
      <c r="AL44" s="945"/>
      <c r="AM44" s="951"/>
      <c r="AN44" s="951"/>
      <c r="AO44" s="951"/>
      <c r="AP44" s="172"/>
      <c r="AQ44" s="948"/>
      <c r="AR44" s="948"/>
      <c r="AS44" s="948"/>
      <c r="AT44" s="948"/>
      <c r="AU44" s="948"/>
      <c r="AV44" s="948"/>
      <c r="AW44" s="951"/>
      <c r="AX44" s="951"/>
      <c r="AY44" s="951"/>
      <c r="AZ44" s="173"/>
      <c r="BA44" s="948"/>
      <c r="BB44" s="948"/>
      <c r="BC44" s="948"/>
      <c r="BD44" s="948"/>
      <c r="BE44" s="948"/>
      <c r="BF44" s="948"/>
      <c r="BG44" s="948"/>
      <c r="BH44" s="948"/>
      <c r="BI44" s="948"/>
      <c r="BJ44" s="948"/>
      <c r="BK44" s="948"/>
      <c r="BL44" s="948"/>
      <c r="BM44" s="948"/>
      <c r="BN44" s="948"/>
      <c r="BO44" s="948"/>
      <c r="BP44" s="948"/>
      <c r="BQ44" s="948"/>
      <c r="BR44" s="948"/>
      <c r="BS44" s="948"/>
      <c r="BT44" s="948"/>
      <c r="BU44" s="948"/>
      <c r="BV44" s="948"/>
      <c r="BW44" s="948"/>
      <c r="BX44" s="948"/>
      <c r="BY44" s="948"/>
      <c r="BZ44" s="948"/>
      <c r="CA44" s="945"/>
      <c r="CB44" s="945"/>
      <c r="CC44" s="945"/>
      <c r="CD44" s="945"/>
      <c r="CE44" s="945"/>
      <c r="CF44" s="945"/>
      <c r="CG44" s="945"/>
      <c r="CH44" s="945"/>
      <c r="CI44" s="945"/>
      <c r="CJ44" s="945"/>
      <c r="CK44" s="945"/>
      <c r="CL44" s="945"/>
      <c r="CM44" s="945"/>
      <c r="CN44" s="945"/>
      <c r="CO44" s="945"/>
      <c r="CP44" s="945"/>
      <c r="CQ44" s="945"/>
      <c r="CR44" s="945"/>
      <c r="CS44" s="945"/>
      <c r="CT44" s="945"/>
      <c r="CU44" s="945"/>
      <c r="CV44" s="945"/>
      <c r="CW44" s="945"/>
      <c r="CX44" s="945"/>
      <c r="CY44" s="945"/>
      <c r="CZ44" s="945"/>
      <c r="DA44" s="945"/>
      <c r="DB44" s="945"/>
      <c r="DC44" s="945"/>
      <c r="DD44" s="945"/>
      <c r="DE44" s="945"/>
      <c r="DF44" s="945"/>
      <c r="DG44" s="945"/>
      <c r="DH44" s="945"/>
      <c r="DI44" s="945"/>
      <c r="DJ44" s="945"/>
      <c r="DK44" s="945"/>
      <c r="DL44" s="945"/>
      <c r="DM44" s="945"/>
      <c r="DN44" s="945"/>
      <c r="DO44" s="945"/>
      <c r="DP44" s="945"/>
      <c r="DQ44" s="945"/>
      <c r="DR44" s="945"/>
      <c r="DS44" s="945"/>
      <c r="DT44" s="945"/>
      <c r="DU44" s="945"/>
      <c r="DV44" s="945"/>
      <c r="DW44" s="945"/>
      <c r="DX44" s="945"/>
      <c r="DY44" s="945"/>
      <c r="DZ44" s="945"/>
      <c r="EA44" s="945"/>
      <c r="EB44" s="945"/>
      <c r="EC44" s="945"/>
      <c r="ED44" s="945"/>
      <c r="EE44" s="945"/>
      <c r="EF44" s="945"/>
      <c r="EG44" s="945"/>
      <c r="EH44" s="945"/>
      <c r="EI44" s="945"/>
      <c r="EJ44" s="945"/>
      <c r="EK44" s="945"/>
      <c r="EL44" s="945"/>
      <c r="EM44" s="945"/>
      <c r="EN44" s="945"/>
      <c r="EO44" s="945"/>
      <c r="EP44" s="945"/>
      <c r="EQ44" s="945"/>
      <c r="ER44" s="945"/>
      <c r="ES44" s="945"/>
      <c r="ET44" s="945"/>
      <c r="EU44" s="945"/>
      <c r="EV44" s="945"/>
      <c r="EW44" s="945"/>
      <c r="EX44" s="945"/>
      <c r="EY44" s="945"/>
      <c r="EZ44" s="945"/>
      <c r="FA44" s="945"/>
      <c r="FB44" s="945"/>
      <c r="FC44" s="945"/>
      <c r="FD44" s="945"/>
      <c r="FE44" s="945"/>
      <c r="FF44" s="945"/>
      <c r="FG44" s="945"/>
      <c r="FH44" s="945"/>
      <c r="FI44" s="945"/>
      <c r="FJ44" s="945"/>
      <c r="FK44" s="945"/>
      <c r="FL44" s="945"/>
      <c r="FM44" s="945"/>
      <c r="FN44" s="945"/>
      <c r="FO44" s="945"/>
      <c r="FP44" s="945"/>
      <c r="FQ44" s="945"/>
      <c r="FR44" s="945"/>
      <c r="FS44" s="945"/>
      <c r="FT44" s="945"/>
      <c r="FU44" s="945"/>
      <c r="FV44" s="945"/>
      <c r="FW44" s="945"/>
      <c r="FX44" s="945"/>
      <c r="FY44" s="945"/>
      <c r="FZ44" s="945"/>
      <c r="GA44" s="945"/>
      <c r="GB44" s="945"/>
      <c r="GC44" s="945"/>
      <c r="GD44" s="945"/>
      <c r="GE44" s="945"/>
      <c r="GF44" s="945"/>
      <c r="GG44" s="945"/>
      <c r="GH44" s="945"/>
      <c r="GI44" s="945"/>
      <c r="GJ44" s="945"/>
      <c r="GK44" s="945"/>
      <c r="GL44" s="945"/>
      <c r="GM44" s="945"/>
      <c r="GN44" s="945"/>
      <c r="GO44" s="945"/>
      <c r="GP44" s="945"/>
      <c r="GQ44" s="945"/>
      <c r="GR44" s="945"/>
      <c r="GS44" s="945"/>
      <c r="GT44" s="945"/>
      <c r="GU44" s="945"/>
      <c r="GV44" s="945"/>
      <c r="GW44" s="945"/>
      <c r="GX44" s="945"/>
      <c r="GY44" s="945"/>
      <c r="GZ44" s="945"/>
      <c r="HA44" s="945"/>
      <c r="HB44" s="945"/>
      <c r="HC44" s="945"/>
      <c r="HD44" s="945"/>
      <c r="HE44" s="945"/>
      <c r="HF44" s="945"/>
      <c r="HG44" s="945"/>
      <c r="HH44" s="945"/>
      <c r="HI44" s="945"/>
      <c r="HJ44" s="945"/>
      <c r="HK44" s="945"/>
      <c r="HL44" s="945"/>
      <c r="HM44" s="945"/>
      <c r="HN44" s="945"/>
      <c r="HO44" s="945"/>
      <c r="HP44" s="945"/>
      <c r="HQ44" s="945"/>
      <c r="HR44" s="945"/>
      <c r="HS44" s="945"/>
      <c r="HT44" s="945"/>
      <c r="HU44" s="945"/>
      <c r="HV44" s="945"/>
      <c r="HW44" s="945"/>
      <c r="HX44" s="945"/>
      <c r="HY44" s="945"/>
      <c r="HZ44" s="945"/>
      <c r="IA44" s="945"/>
      <c r="IB44" s="945"/>
      <c r="IC44" s="945"/>
      <c r="ID44" s="945"/>
      <c r="IE44" s="945"/>
      <c r="IF44" s="945"/>
      <c r="IG44" s="945"/>
      <c r="IH44" s="945"/>
      <c r="II44" s="945"/>
      <c r="IJ44" s="945"/>
      <c r="IK44" s="945"/>
      <c r="IL44" s="945"/>
      <c r="IM44" s="945"/>
      <c r="IN44" s="945"/>
      <c r="IO44" s="945"/>
      <c r="IP44" s="945"/>
      <c r="IQ44" s="945"/>
      <c r="IR44" s="945"/>
      <c r="IS44" s="945"/>
      <c r="IT44" s="945"/>
      <c r="IU44" s="945"/>
      <c r="IV44" s="945"/>
      <c r="IW44" s="945"/>
      <c r="IX44" s="945"/>
      <c r="IY44" s="945"/>
      <c r="IZ44" s="945"/>
      <c r="JA44" s="945"/>
      <c r="JB44" s="945"/>
      <c r="JC44" s="945"/>
      <c r="JD44" s="945"/>
      <c r="JE44" s="945"/>
      <c r="JF44" s="945"/>
      <c r="JG44" s="945"/>
      <c r="JH44" s="945"/>
      <c r="JI44" s="945"/>
      <c r="JJ44" s="945"/>
      <c r="JK44" s="945"/>
      <c r="JL44" s="945"/>
      <c r="JM44" s="945"/>
      <c r="JN44" s="945"/>
      <c r="JO44" s="945"/>
      <c r="JP44" s="945"/>
      <c r="JQ44" s="945"/>
      <c r="JR44" s="945"/>
      <c r="JS44" s="945"/>
      <c r="JT44" s="945"/>
      <c r="JU44" s="945"/>
      <c r="JV44" s="945"/>
      <c r="JW44" s="945"/>
      <c r="JX44" s="945"/>
      <c r="JY44" s="945"/>
      <c r="JZ44" s="945"/>
      <c r="KA44" s="945"/>
      <c r="KB44" s="945"/>
      <c r="KC44" s="945"/>
      <c r="KD44" s="945"/>
      <c r="KE44" s="945"/>
      <c r="KF44" s="945"/>
      <c r="KG44" s="945"/>
      <c r="KH44" s="945"/>
      <c r="KI44" s="945"/>
      <c r="KJ44" s="945"/>
      <c r="KK44" s="945"/>
      <c r="KL44" s="945"/>
      <c r="KM44" s="945"/>
      <c r="KN44" s="945"/>
      <c r="KO44" s="945"/>
      <c r="KP44" s="945"/>
      <c r="KQ44" s="945"/>
      <c r="KR44" s="945"/>
      <c r="KS44" s="945"/>
      <c r="KT44" s="945"/>
      <c r="KU44" s="945"/>
      <c r="KV44" s="945"/>
      <c r="KW44" s="945"/>
      <c r="KX44" s="945"/>
      <c r="KY44" s="945"/>
      <c r="KZ44" s="945"/>
      <c r="LA44" s="945"/>
      <c r="LB44" s="945"/>
      <c r="LC44" s="945"/>
      <c r="LD44" s="945"/>
      <c r="LE44" s="945"/>
      <c r="LF44" s="945"/>
      <c r="LG44" s="945"/>
      <c r="LH44" s="945"/>
      <c r="LI44" s="945"/>
      <c r="LJ44" s="945"/>
      <c r="LK44" s="945"/>
      <c r="LL44" s="945"/>
      <c r="LM44" s="945"/>
      <c r="LN44" s="945"/>
      <c r="LO44" s="945"/>
      <c r="LP44" s="945"/>
      <c r="LQ44" s="945"/>
      <c r="LR44" s="945"/>
      <c r="LS44" s="945"/>
      <c r="LT44" s="945"/>
      <c r="LU44" s="945"/>
      <c r="LV44" s="945"/>
      <c r="LW44" s="945"/>
      <c r="LX44" s="945"/>
      <c r="LY44" s="945"/>
      <c r="LZ44" s="945"/>
      <c r="MA44" s="945"/>
      <c r="MB44" s="945"/>
      <c r="MC44" s="945"/>
      <c r="MD44" s="945"/>
      <c r="ME44" s="945"/>
      <c r="MF44" s="945"/>
      <c r="MG44" s="945"/>
      <c r="MH44" s="945"/>
      <c r="MI44" s="945"/>
      <c r="MJ44" s="945"/>
      <c r="MK44" s="945"/>
      <c r="ML44" s="945"/>
      <c r="MM44" s="945"/>
      <c r="MN44" s="945"/>
      <c r="MO44" s="945"/>
      <c r="MP44" s="945"/>
      <c r="MQ44" s="945"/>
      <c r="MR44" s="945"/>
      <c r="MS44" s="945"/>
      <c r="MT44" s="945"/>
      <c r="MU44" s="945"/>
      <c r="MV44" s="945"/>
      <c r="MW44" s="945"/>
      <c r="MX44" s="945"/>
      <c r="MY44" s="945"/>
      <c r="MZ44" s="945"/>
      <c r="NA44" s="945"/>
      <c r="NB44" s="945"/>
      <c r="NC44" s="945"/>
      <c r="ND44" s="945"/>
      <c r="NE44" s="945"/>
      <c r="NF44" s="945"/>
      <c r="NG44" s="945"/>
      <c r="NH44" s="945"/>
      <c r="NI44" s="945"/>
      <c r="NJ44" s="945"/>
      <c r="NK44" s="945"/>
      <c r="NL44" s="945"/>
      <c r="NM44" s="945"/>
      <c r="NN44" s="945"/>
      <c r="NO44" s="945"/>
      <c r="NP44" s="945"/>
      <c r="NQ44" s="945"/>
      <c r="NR44" s="945"/>
      <c r="NS44" s="945"/>
      <c r="NT44" s="945"/>
      <c r="NU44" s="945"/>
      <c r="NV44" s="945"/>
      <c r="NW44" s="945"/>
      <c r="NX44" s="945"/>
      <c r="NY44" s="945"/>
      <c r="NZ44" s="945"/>
      <c r="OA44" s="945"/>
      <c r="OB44" s="945"/>
      <c r="OC44" s="945"/>
      <c r="OD44" s="945"/>
      <c r="OE44" s="945"/>
      <c r="OF44" s="945"/>
      <c r="OG44" s="945"/>
      <c r="OH44" s="945"/>
      <c r="OI44" s="945"/>
      <c r="OJ44" s="945"/>
      <c r="OK44" s="945"/>
      <c r="OL44" s="945"/>
      <c r="OM44" s="945"/>
      <c r="ON44" s="945"/>
      <c r="OO44" s="945"/>
      <c r="OP44" s="945"/>
      <c r="OQ44" s="945"/>
      <c r="OR44" s="945"/>
      <c r="OS44" s="945"/>
      <c r="OT44" s="945"/>
      <c r="OU44" s="945"/>
      <c r="OV44" s="945"/>
      <c r="OW44" s="945"/>
      <c r="OX44" s="945"/>
      <c r="OY44" s="945"/>
      <c r="OZ44" s="945"/>
      <c r="PA44" s="945"/>
      <c r="PB44" s="945"/>
      <c r="PC44" s="945"/>
      <c r="PD44" s="945"/>
      <c r="PE44" s="945"/>
      <c r="PF44" s="945"/>
      <c r="PG44" s="945"/>
      <c r="PH44" s="945"/>
      <c r="PI44" s="945"/>
      <c r="PJ44" s="945"/>
      <c r="PK44" s="945"/>
      <c r="PL44" s="945"/>
      <c r="PM44" s="945"/>
      <c r="PN44" s="945"/>
      <c r="PO44" s="945"/>
      <c r="PP44" s="945"/>
      <c r="PQ44" s="945"/>
      <c r="PR44" s="945"/>
      <c r="PS44" s="945"/>
      <c r="PT44" s="945"/>
      <c r="PU44" s="945"/>
      <c r="PV44" s="945"/>
      <c r="PW44" s="945"/>
      <c r="PX44" s="945"/>
      <c r="PY44" s="945"/>
      <c r="PZ44" s="945"/>
      <c r="QA44" s="945"/>
      <c r="QB44" s="945"/>
      <c r="QC44" s="945"/>
      <c r="QD44" s="945"/>
      <c r="QE44" s="945"/>
      <c r="QF44" s="945"/>
      <c r="QG44" s="945"/>
      <c r="QH44" s="945"/>
      <c r="QI44" s="945"/>
      <c r="QJ44" s="945"/>
      <c r="QK44" s="945"/>
      <c r="QL44" s="945"/>
      <c r="QM44" s="945"/>
      <c r="QN44" s="945"/>
      <c r="QO44" s="945"/>
      <c r="QP44" s="945"/>
      <c r="QQ44" s="945"/>
      <c r="QR44" s="945"/>
      <c r="QS44" s="945"/>
      <c r="QT44" s="945"/>
      <c r="QU44" s="945"/>
      <c r="QV44" s="945"/>
      <c r="QW44" s="945"/>
      <c r="QX44" s="945"/>
      <c r="QY44" s="945"/>
      <c r="QZ44" s="945"/>
      <c r="RA44" s="945"/>
      <c r="RB44" s="945"/>
      <c r="RC44" s="945"/>
      <c r="RD44" s="945"/>
      <c r="RE44" s="945"/>
      <c r="RF44" s="945"/>
      <c r="RG44" s="945"/>
      <c r="RH44" s="945"/>
      <c r="RI44" s="945"/>
      <c r="RJ44" s="945"/>
      <c r="RK44" s="945"/>
      <c r="RL44" s="945"/>
      <c r="RM44" s="945"/>
      <c r="RN44" s="945"/>
      <c r="RO44" s="945"/>
      <c r="RP44" s="945"/>
      <c r="RQ44" s="945"/>
      <c r="RR44" s="945"/>
      <c r="RS44" s="945"/>
      <c r="RT44" s="945"/>
      <c r="RU44" s="945"/>
      <c r="RV44" s="945"/>
      <c r="RW44" s="945"/>
      <c r="RX44" s="945"/>
    </row>
    <row r="45" spans="1:492" s="165" customFormat="1">
      <c r="A45" s="945"/>
      <c r="B45" s="945"/>
      <c r="C45" s="945"/>
      <c r="D45" s="945"/>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945"/>
      <c r="AL45" s="945"/>
      <c r="AM45" s="951"/>
      <c r="AN45" s="951"/>
      <c r="AO45" s="951"/>
      <c r="AP45" s="172"/>
      <c r="AQ45" s="948"/>
      <c r="AR45" s="948"/>
      <c r="AS45" s="948"/>
      <c r="AT45" s="948"/>
      <c r="AU45" s="948"/>
      <c r="AV45" s="948"/>
      <c r="AW45" s="951"/>
      <c r="AX45" s="951"/>
      <c r="AY45" s="951"/>
      <c r="AZ45" s="173"/>
      <c r="BA45" s="948"/>
      <c r="BB45" s="951"/>
      <c r="BC45" s="951"/>
      <c r="BD45" s="174"/>
      <c r="BE45" s="174"/>
      <c r="BF45" s="948"/>
      <c r="BG45" s="951"/>
      <c r="BH45" s="951"/>
      <c r="BI45" s="174"/>
      <c r="BJ45" s="174"/>
      <c r="BK45" s="948"/>
      <c r="BL45" s="951"/>
      <c r="BM45" s="951"/>
      <c r="BN45" s="174"/>
      <c r="BO45" s="174"/>
      <c r="BP45" s="948"/>
      <c r="BQ45" s="951"/>
      <c r="BR45" s="951"/>
      <c r="BS45" s="174"/>
      <c r="BT45" s="174"/>
      <c r="BU45" s="948"/>
      <c r="BV45" s="951"/>
      <c r="BW45" s="951"/>
      <c r="BX45" s="174"/>
      <c r="BY45" s="174"/>
      <c r="BZ45" s="948"/>
      <c r="CA45" s="945"/>
      <c r="CB45" s="945"/>
      <c r="CC45" s="945"/>
      <c r="CD45" s="945"/>
      <c r="CE45" s="945"/>
      <c r="CF45" s="945"/>
      <c r="CG45" s="945"/>
      <c r="CH45" s="945"/>
      <c r="CI45" s="945"/>
      <c r="CJ45" s="945"/>
      <c r="CK45" s="945"/>
      <c r="CL45" s="945"/>
      <c r="CM45" s="945"/>
      <c r="CN45" s="945"/>
      <c r="CO45" s="945"/>
      <c r="CP45" s="945"/>
      <c r="CQ45" s="945"/>
      <c r="CR45" s="945"/>
      <c r="CS45" s="945"/>
      <c r="CT45" s="945"/>
      <c r="CU45" s="945"/>
      <c r="CV45" s="945"/>
      <c r="CW45" s="945"/>
      <c r="CX45" s="945"/>
      <c r="CY45" s="945"/>
      <c r="CZ45" s="945"/>
      <c r="DA45" s="945"/>
      <c r="DB45" s="945"/>
      <c r="DC45" s="945"/>
      <c r="DD45" s="945"/>
      <c r="DE45" s="945"/>
      <c r="DF45" s="945"/>
      <c r="DG45" s="945"/>
      <c r="DH45" s="945"/>
      <c r="DI45" s="945"/>
      <c r="DJ45" s="945"/>
      <c r="DK45" s="945"/>
      <c r="DL45" s="945"/>
      <c r="DM45" s="945"/>
      <c r="DN45" s="945"/>
      <c r="DO45" s="945"/>
      <c r="DP45" s="945"/>
      <c r="DQ45" s="945"/>
      <c r="DR45" s="945"/>
      <c r="DS45" s="945"/>
      <c r="DT45" s="945"/>
      <c r="DU45" s="945"/>
      <c r="DV45" s="945"/>
      <c r="DW45" s="945"/>
      <c r="DX45" s="945"/>
      <c r="DY45" s="945"/>
      <c r="DZ45" s="945"/>
      <c r="EA45" s="945"/>
      <c r="EB45" s="945"/>
      <c r="EC45" s="945"/>
      <c r="ED45" s="945"/>
      <c r="EE45" s="945"/>
      <c r="EF45" s="945"/>
      <c r="EG45" s="945"/>
      <c r="EH45" s="945"/>
      <c r="EI45" s="945"/>
      <c r="EJ45" s="945"/>
      <c r="EK45" s="945"/>
      <c r="EL45" s="945"/>
      <c r="EM45" s="945"/>
      <c r="EN45" s="945"/>
      <c r="EO45" s="945"/>
      <c r="EP45" s="945"/>
      <c r="EQ45" s="945"/>
      <c r="ER45" s="945"/>
      <c r="ES45" s="945"/>
      <c r="ET45" s="945"/>
      <c r="EU45" s="945"/>
      <c r="EV45" s="945"/>
      <c r="EW45" s="945"/>
      <c r="EX45" s="945"/>
      <c r="EY45" s="945"/>
      <c r="EZ45" s="945"/>
      <c r="FA45" s="945"/>
      <c r="FB45" s="945"/>
      <c r="FC45" s="945"/>
      <c r="FD45" s="945"/>
      <c r="FE45" s="945"/>
      <c r="FF45" s="945"/>
      <c r="FG45" s="945"/>
      <c r="FH45" s="945"/>
      <c r="FI45" s="945"/>
      <c r="FJ45" s="945"/>
      <c r="FK45" s="945"/>
      <c r="FL45" s="945"/>
      <c r="FM45" s="945"/>
      <c r="FN45" s="945"/>
      <c r="FO45" s="945"/>
      <c r="FP45" s="945"/>
      <c r="FQ45" s="945"/>
      <c r="FR45" s="945"/>
      <c r="FS45" s="945"/>
      <c r="FT45" s="945"/>
      <c r="FU45" s="945"/>
      <c r="FV45" s="945"/>
      <c r="FW45" s="945"/>
      <c r="FX45" s="945"/>
      <c r="FY45" s="945"/>
      <c r="FZ45" s="945"/>
      <c r="GA45" s="945"/>
      <c r="GB45" s="945"/>
      <c r="GC45" s="945"/>
      <c r="GD45" s="945"/>
      <c r="GE45" s="945"/>
      <c r="GF45" s="945"/>
      <c r="GG45" s="945"/>
      <c r="GH45" s="945"/>
      <c r="GI45" s="945"/>
      <c r="GJ45" s="945"/>
      <c r="GK45" s="945"/>
      <c r="GL45" s="945"/>
      <c r="GM45" s="945"/>
      <c r="GN45" s="945"/>
      <c r="GO45" s="945"/>
      <c r="GP45" s="945"/>
      <c r="GQ45" s="945"/>
      <c r="GR45" s="945"/>
      <c r="GS45" s="945"/>
      <c r="GT45" s="945"/>
      <c r="GU45" s="945"/>
      <c r="GV45" s="945"/>
      <c r="GW45" s="945"/>
      <c r="GX45" s="945"/>
      <c r="GY45" s="945"/>
      <c r="GZ45" s="945"/>
      <c r="HA45" s="945"/>
      <c r="HB45" s="945"/>
      <c r="HC45" s="945"/>
      <c r="HD45" s="945"/>
      <c r="HE45" s="945"/>
      <c r="HF45" s="945"/>
      <c r="HG45" s="945"/>
      <c r="HH45" s="945"/>
      <c r="HI45" s="945"/>
      <c r="HJ45" s="945"/>
      <c r="HK45" s="945"/>
      <c r="HL45" s="945"/>
      <c r="HM45" s="945"/>
      <c r="HN45" s="945"/>
      <c r="HO45" s="945"/>
      <c r="HP45" s="945"/>
      <c r="HQ45" s="945"/>
      <c r="HR45" s="945"/>
      <c r="HS45" s="945"/>
      <c r="HT45" s="945"/>
      <c r="HU45" s="945"/>
      <c r="HV45" s="945"/>
      <c r="HW45" s="945"/>
      <c r="HX45" s="945"/>
      <c r="HY45" s="945"/>
      <c r="HZ45" s="945"/>
      <c r="IA45" s="945"/>
      <c r="IB45" s="945"/>
      <c r="IC45" s="945"/>
      <c r="ID45" s="945"/>
      <c r="IE45" s="945"/>
      <c r="IF45" s="945"/>
      <c r="IG45" s="945"/>
      <c r="IH45" s="945"/>
      <c r="II45" s="945"/>
      <c r="IJ45" s="945"/>
      <c r="IK45" s="945"/>
      <c r="IL45" s="945"/>
      <c r="IM45" s="945"/>
      <c r="IN45" s="945"/>
      <c r="IO45" s="945"/>
      <c r="IP45" s="945"/>
      <c r="IQ45" s="945"/>
      <c r="IR45" s="945"/>
      <c r="IS45" s="945"/>
      <c r="IT45" s="945"/>
      <c r="IU45" s="945"/>
      <c r="IV45" s="945"/>
      <c r="IW45" s="945"/>
      <c r="IX45" s="945"/>
      <c r="IY45" s="945"/>
      <c r="IZ45" s="945"/>
      <c r="JA45" s="945"/>
      <c r="JB45" s="945"/>
      <c r="JC45" s="945"/>
      <c r="JD45" s="945"/>
      <c r="JE45" s="945"/>
      <c r="JF45" s="945"/>
      <c r="JG45" s="945"/>
      <c r="JH45" s="945"/>
      <c r="JI45" s="945"/>
      <c r="JJ45" s="945"/>
      <c r="JK45" s="945"/>
      <c r="JL45" s="945"/>
      <c r="JM45" s="945"/>
      <c r="JN45" s="945"/>
      <c r="JO45" s="945"/>
      <c r="JP45" s="945"/>
      <c r="JQ45" s="945"/>
      <c r="JR45" s="945"/>
      <c r="JS45" s="945"/>
      <c r="JT45" s="945"/>
      <c r="JU45" s="945"/>
      <c r="JV45" s="945"/>
      <c r="JW45" s="945"/>
      <c r="JX45" s="945"/>
      <c r="JY45" s="945"/>
      <c r="JZ45" s="945"/>
      <c r="KA45" s="945"/>
      <c r="KB45" s="945"/>
      <c r="KC45" s="945"/>
      <c r="KD45" s="945"/>
      <c r="KE45" s="945"/>
      <c r="KF45" s="945"/>
      <c r="KG45" s="945"/>
      <c r="KH45" s="945"/>
      <c r="KI45" s="945"/>
      <c r="KJ45" s="945"/>
      <c r="KK45" s="945"/>
      <c r="KL45" s="945"/>
      <c r="KM45" s="945"/>
      <c r="KN45" s="945"/>
      <c r="KO45" s="945"/>
      <c r="KP45" s="945"/>
      <c r="KQ45" s="945"/>
      <c r="KR45" s="945"/>
      <c r="KS45" s="945"/>
      <c r="KT45" s="945"/>
      <c r="KU45" s="945"/>
      <c r="KV45" s="945"/>
      <c r="KW45" s="945"/>
      <c r="KX45" s="945"/>
      <c r="KY45" s="945"/>
      <c r="KZ45" s="945"/>
      <c r="LA45" s="945"/>
      <c r="LB45" s="945"/>
      <c r="LC45" s="945"/>
      <c r="LD45" s="945"/>
      <c r="LE45" s="945"/>
      <c r="LF45" s="945"/>
      <c r="LG45" s="945"/>
      <c r="LH45" s="945"/>
      <c r="LI45" s="945"/>
      <c r="LJ45" s="945"/>
      <c r="LK45" s="945"/>
      <c r="LL45" s="945"/>
      <c r="LM45" s="945"/>
      <c r="LN45" s="945"/>
      <c r="LO45" s="945"/>
      <c r="LP45" s="945"/>
      <c r="LQ45" s="945"/>
      <c r="LR45" s="945"/>
      <c r="LS45" s="945"/>
      <c r="LT45" s="945"/>
      <c r="LU45" s="945"/>
      <c r="LV45" s="945"/>
      <c r="LW45" s="945"/>
      <c r="LX45" s="945"/>
      <c r="LY45" s="945"/>
      <c r="LZ45" s="945"/>
      <c r="MA45" s="945"/>
      <c r="MB45" s="945"/>
      <c r="MC45" s="945"/>
      <c r="MD45" s="945"/>
      <c r="ME45" s="945"/>
      <c r="MF45" s="945"/>
      <c r="MG45" s="945"/>
      <c r="MH45" s="945"/>
      <c r="MI45" s="945"/>
      <c r="MJ45" s="945"/>
      <c r="MK45" s="945"/>
      <c r="ML45" s="945"/>
      <c r="MM45" s="945"/>
      <c r="MN45" s="945"/>
      <c r="MO45" s="945"/>
      <c r="MP45" s="945"/>
      <c r="MQ45" s="945"/>
      <c r="MR45" s="945"/>
      <c r="MS45" s="945"/>
      <c r="MT45" s="945"/>
      <c r="MU45" s="945"/>
      <c r="MV45" s="945"/>
      <c r="MW45" s="945"/>
      <c r="MX45" s="945"/>
      <c r="MY45" s="945"/>
      <c r="MZ45" s="945"/>
      <c r="NA45" s="945"/>
      <c r="NB45" s="945"/>
      <c r="NC45" s="945"/>
      <c r="ND45" s="945"/>
      <c r="NE45" s="945"/>
      <c r="NF45" s="945"/>
      <c r="NG45" s="945"/>
      <c r="NH45" s="945"/>
      <c r="NI45" s="945"/>
      <c r="NJ45" s="945"/>
      <c r="NK45" s="945"/>
      <c r="NL45" s="945"/>
      <c r="NM45" s="945"/>
      <c r="NN45" s="945"/>
      <c r="NO45" s="945"/>
      <c r="NP45" s="945"/>
      <c r="NQ45" s="945"/>
      <c r="NR45" s="945"/>
      <c r="NS45" s="945"/>
      <c r="NT45" s="945"/>
      <c r="NU45" s="945"/>
      <c r="NV45" s="945"/>
      <c r="NW45" s="945"/>
      <c r="NX45" s="945"/>
      <c r="NY45" s="945"/>
      <c r="NZ45" s="945"/>
      <c r="OA45" s="945"/>
      <c r="OB45" s="945"/>
      <c r="OC45" s="945"/>
      <c r="OD45" s="945"/>
      <c r="OE45" s="945"/>
      <c r="OF45" s="945"/>
      <c r="OG45" s="945"/>
      <c r="OH45" s="945"/>
      <c r="OI45" s="945"/>
      <c r="OJ45" s="945"/>
      <c r="OK45" s="945"/>
      <c r="OL45" s="945"/>
      <c r="OM45" s="945"/>
      <c r="ON45" s="945"/>
      <c r="OO45" s="945"/>
      <c r="OP45" s="945"/>
      <c r="OQ45" s="945"/>
      <c r="OR45" s="945"/>
      <c r="OS45" s="945"/>
      <c r="OT45" s="945"/>
      <c r="OU45" s="945"/>
      <c r="OV45" s="945"/>
      <c r="OW45" s="945"/>
      <c r="OX45" s="945"/>
      <c r="OY45" s="945"/>
      <c r="OZ45" s="945"/>
      <c r="PA45" s="945"/>
      <c r="PB45" s="945"/>
      <c r="PC45" s="945"/>
      <c r="PD45" s="945"/>
      <c r="PE45" s="945"/>
      <c r="PF45" s="945"/>
      <c r="PG45" s="945"/>
      <c r="PH45" s="945"/>
      <c r="PI45" s="945"/>
      <c r="PJ45" s="945"/>
      <c r="PK45" s="945"/>
      <c r="PL45" s="945"/>
      <c r="PM45" s="945"/>
      <c r="PN45" s="945"/>
      <c r="PO45" s="945"/>
      <c r="PP45" s="945"/>
      <c r="PQ45" s="945"/>
      <c r="PR45" s="945"/>
      <c r="PS45" s="945"/>
      <c r="PT45" s="945"/>
      <c r="PU45" s="945"/>
      <c r="PV45" s="945"/>
      <c r="PW45" s="945"/>
      <c r="PX45" s="945"/>
      <c r="PY45" s="945"/>
      <c r="PZ45" s="945"/>
      <c r="QA45" s="945"/>
      <c r="QB45" s="945"/>
      <c r="QC45" s="945"/>
      <c r="QD45" s="945"/>
      <c r="QE45" s="945"/>
      <c r="QF45" s="945"/>
      <c r="QG45" s="945"/>
      <c r="QH45" s="945"/>
      <c r="QI45" s="945"/>
      <c r="QJ45" s="945"/>
      <c r="QK45" s="945"/>
      <c r="QL45" s="945"/>
      <c r="QM45" s="945"/>
      <c r="QN45" s="945"/>
      <c r="QO45" s="945"/>
      <c r="QP45" s="945"/>
      <c r="QQ45" s="945"/>
      <c r="QR45" s="945"/>
      <c r="QS45" s="945"/>
      <c r="QT45" s="945"/>
      <c r="QU45" s="945"/>
      <c r="QV45" s="945"/>
      <c r="QW45" s="945"/>
      <c r="QX45" s="945"/>
      <c r="QY45" s="945"/>
      <c r="QZ45" s="945"/>
      <c r="RA45" s="945"/>
      <c r="RB45" s="945"/>
      <c r="RC45" s="945"/>
      <c r="RD45" s="945"/>
      <c r="RE45" s="945"/>
      <c r="RF45" s="945"/>
      <c r="RG45" s="945"/>
      <c r="RH45" s="945"/>
      <c r="RI45" s="945"/>
      <c r="RJ45" s="945"/>
      <c r="RK45" s="945"/>
      <c r="RL45" s="945"/>
      <c r="RM45" s="945"/>
      <c r="RN45" s="945"/>
      <c r="RO45" s="945"/>
      <c r="RP45" s="945"/>
      <c r="RQ45" s="945"/>
      <c r="RR45" s="945"/>
      <c r="RS45" s="945"/>
      <c r="RT45" s="945"/>
      <c r="RU45" s="945"/>
      <c r="RV45" s="945"/>
      <c r="RW45" s="945"/>
      <c r="RX45" s="945"/>
    </row>
    <row r="46" spans="1:492" s="165" customFormat="1">
      <c r="A46" s="945"/>
      <c r="B46" s="945"/>
      <c r="C46" s="945"/>
      <c r="D46" s="945"/>
      <c r="E46" s="945"/>
      <c r="F46" s="945"/>
      <c r="G46" s="945"/>
      <c r="H46" s="945"/>
      <c r="I46" s="945"/>
      <c r="J46" s="945"/>
      <c r="K46" s="945"/>
      <c r="L46" s="945"/>
      <c r="M46" s="945"/>
      <c r="N46" s="945"/>
      <c r="O46" s="945"/>
      <c r="P46" s="945"/>
      <c r="Q46" s="945"/>
      <c r="R46" s="945"/>
      <c r="S46" s="945"/>
      <c r="T46" s="945"/>
      <c r="U46" s="945"/>
      <c r="V46" s="945"/>
      <c r="W46" s="945"/>
      <c r="X46" s="945"/>
      <c r="Y46" s="945"/>
      <c r="Z46" s="945"/>
      <c r="AA46" s="945"/>
      <c r="AB46" s="945"/>
      <c r="AC46" s="945"/>
      <c r="AD46" s="945"/>
      <c r="AE46" s="945"/>
      <c r="AF46" s="945"/>
      <c r="AG46" s="945"/>
      <c r="AH46" s="945"/>
      <c r="AI46" s="945"/>
      <c r="AJ46" s="945"/>
      <c r="AK46" s="945"/>
      <c r="AL46" s="945"/>
      <c r="AM46" s="951"/>
      <c r="AN46" s="951"/>
      <c r="AO46" s="951"/>
      <c r="AP46" s="951"/>
      <c r="AQ46" s="948"/>
      <c r="AR46" s="948"/>
      <c r="AS46" s="948"/>
      <c r="AT46" s="948"/>
      <c r="AU46" s="948"/>
      <c r="AV46" s="948"/>
      <c r="AW46" s="951"/>
      <c r="AX46" s="951"/>
      <c r="AY46" s="951"/>
      <c r="AZ46" s="951"/>
      <c r="BA46" s="948"/>
      <c r="BB46" s="948"/>
      <c r="BC46" s="952"/>
      <c r="BD46" s="951"/>
      <c r="BE46" s="951"/>
      <c r="BF46" s="948"/>
      <c r="BG46" s="948"/>
      <c r="BH46" s="952"/>
      <c r="BI46" s="951"/>
      <c r="BJ46" s="951"/>
      <c r="BK46" s="948"/>
      <c r="BL46" s="948"/>
      <c r="BM46" s="952"/>
      <c r="BN46" s="951"/>
      <c r="BO46" s="951"/>
      <c r="BP46" s="948"/>
      <c r="BQ46" s="948"/>
      <c r="BR46" s="952"/>
      <c r="BS46" s="951"/>
      <c r="BT46" s="951"/>
      <c r="BU46" s="948"/>
      <c r="BV46" s="948"/>
      <c r="BW46" s="952"/>
      <c r="BX46" s="951"/>
      <c r="BY46" s="951"/>
      <c r="BZ46" s="948"/>
      <c r="CA46" s="945"/>
      <c r="CB46" s="945"/>
      <c r="CC46" s="945"/>
      <c r="CD46" s="945"/>
      <c r="CE46" s="945"/>
      <c r="CF46" s="945"/>
      <c r="CG46" s="945"/>
      <c r="CH46" s="945"/>
      <c r="CI46" s="945"/>
      <c r="CJ46" s="945"/>
      <c r="CK46" s="945"/>
      <c r="CL46" s="945"/>
      <c r="CM46" s="945"/>
      <c r="CN46" s="945"/>
      <c r="CO46" s="945"/>
      <c r="CP46" s="945"/>
      <c r="CQ46" s="945"/>
      <c r="CR46" s="945"/>
      <c r="CS46" s="945"/>
      <c r="CT46" s="945"/>
      <c r="CU46" s="945"/>
      <c r="CV46" s="945"/>
      <c r="CW46" s="945"/>
      <c r="CX46" s="945"/>
      <c r="CY46" s="945"/>
      <c r="CZ46" s="945"/>
      <c r="DA46" s="945"/>
      <c r="DB46" s="945"/>
      <c r="DC46" s="945"/>
      <c r="DD46" s="945"/>
      <c r="DE46" s="945"/>
      <c r="DF46" s="945"/>
      <c r="DG46" s="945"/>
      <c r="DH46" s="945"/>
      <c r="DI46" s="945"/>
      <c r="DJ46" s="945"/>
      <c r="DK46" s="945"/>
      <c r="DL46" s="945"/>
      <c r="DM46" s="945"/>
      <c r="DN46" s="945"/>
      <c r="DO46" s="945"/>
      <c r="DP46" s="945"/>
      <c r="DQ46" s="945"/>
      <c r="DR46" s="945"/>
      <c r="DS46" s="945"/>
      <c r="DT46" s="945"/>
      <c r="DU46" s="945"/>
      <c r="DV46" s="945"/>
      <c r="DW46" s="945"/>
      <c r="DX46" s="945"/>
      <c r="DY46" s="945"/>
      <c r="DZ46" s="945"/>
      <c r="EA46" s="945"/>
      <c r="EB46" s="945"/>
      <c r="EC46" s="945"/>
      <c r="ED46" s="945"/>
      <c r="EE46" s="945"/>
      <c r="EF46" s="945"/>
      <c r="EG46" s="945"/>
      <c r="EH46" s="945"/>
      <c r="EI46" s="945"/>
      <c r="EJ46" s="945"/>
      <c r="EK46" s="945"/>
      <c r="EL46" s="945"/>
      <c r="EM46" s="945"/>
      <c r="EN46" s="945"/>
      <c r="EO46" s="945"/>
      <c r="EP46" s="945"/>
      <c r="EQ46" s="945"/>
      <c r="ER46" s="945"/>
      <c r="ES46" s="945"/>
      <c r="ET46" s="945"/>
      <c r="EU46" s="945"/>
      <c r="EV46" s="945"/>
      <c r="EW46" s="945"/>
      <c r="EX46" s="945"/>
      <c r="EY46" s="945"/>
      <c r="EZ46" s="945"/>
      <c r="FA46" s="945"/>
      <c r="FB46" s="945"/>
      <c r="FC46" s="945"/>
      <c r="FD46" s="945"/>
      <c r="FE46" s="945"/>
      <c r="FF46" s="945"/>
      <c r="FG46" s="945"/>
      <c r="FH46" s="945"/>
      <c r="FI46" s="945"/>
      <c r="FJ46" s="945"/>
      <c r="FK46" s="945"/>
      <c r="FL46" s="945"/>
      <c r="FM46" s="945"/>
      <c r="FN46" s="945"/>
      <c r="FO46" s="945"/>
      <c r="FP46" s="945"/>
      <c r="FQ46" s="945"/>
      <c r="FR46" s="945"/>
      <c r="FS46" s="945"/>
      <c r="FT46" s="945"/>
      <c r="FU46" s="945"/>
      <c r="FV46" s="945"/>
      <c r="FW46" s="945"/>
      <c r="FX46" s="945"/>
      <c r="FY46" s="945"/>
      <c r="FZ46" s="945"/>
      <c r="GA46" s="945"/>
      <c r="GB46" s="945"/>
      <c r="GC46" s="945"/>
      <c r="GD46" s="945"/>
      <c r="GE46" s="945"/>
      <c r="GF46" s="945"/>
      <c r="GG46" s="945"/>
      <c r="GH46" s="945"/>
      <c r="GI46" s="945"/>
      <c r="GJ46" s="945"/>
      <c r="GK46" s="945"/>
      <c r="GL46" s="945"/>
      <c r="GM46" s="945"/>
      <c r="GN46" s="945"/>
      <c r="GO46" s="945"/>
      <c r="GP46" s="945"/>
      <c r="GQ46" s="945"/>
      <c r="GR46" s="945"/>
      <c r="GS46" s="945"/>
      <c r="GT46" s="945"/>
      <c r="GU46" s="945"/>
      <c r="GV46" s="945"/>
      <c r="GW46" s="945"/>
      <c r="GX46" s="945"/>
      <c r="GY46" s="945"/>
      <c r="GZ46" s="945"/>
      <c r="HA46" s="945"/>
      <c r="HB46" s="945"/>
      <c r="HC46" s="945"/>
      <c r="HD46" s="945"/>
      <c r="HE46" s="945"/>
      <c r="HF46" s="945"/>
      <c r="HG46" s="945"/>
      <c r="HH46" s="945"/>
      <c r="HI46" s="945"/>
      <c r="HJ46" s="945"/>
      <c r="HK46" s="945"/>
      <c r="HL46" s="945"/>
      <c r="HM46" s="945"/>
      <c r="HN46" s="945"/>
      <c r="HO46" s="945"/>
      <c r="HP46" s="945"/>
      <c r="HQ46" s="945"/>
      <c r="HR46" s="945"/>
      <c r="HS46" s="945"/>
      <c r="HT46" s="945"/>
      <c r="HU46" s="945"/>
      <c r="HV46" s="945"/>
      <c r="HW46" s="945"/>
      <c r="HX46" s="945"/>
      <c r="HY46" s="945"/>
      <c r="HZ46" s="945"/>
      <c r="IA46" s="945"/>
      <c r="IB46" s="945"/>
      <c r="IC46" s="945"/>
      <c r="ID46" s="945"/>
      <c r="IE46" s="945"/>
      <c r="IF46" s="945"/>
      <c r="IG46" s="945"/>
      <c r="IH46" s="945"/>
      <c r="II46" s="945"/>
      <c r="IJ46" s="945"/>
      <c r="IK46" s="945"/>
      <c r="IL46" s="945"/>
      <c r="IM46" s="945"/>
      <c r="IN46" s="945"/>
      <c r="IO46" s="945"/>
      <c r="IP46" s="945"/>
      <c r="IQ46" s="945"/>
      <c r="IR46" s="945"/>
      <c r="IS46" s="945"/>
      <c r="IT46" s="945"/>
      <c r="IU46" s="945"/>
      <c r="IV46" s="945"/>
      <c r="IW46" s="945"/>
      <c r="IX46" s="945"/>
      <c r="IY46" s="945"/>
      <c r="IZ46" s="945"/>
      <c r="JA46" s="945"/>
      <c r="JB46" s="945"/>
      <c r="JC46" s="945"/>
      <c r="JD46" s="945"/>
      <c r="JE46" s="945"/>
      <c r="JF46" s="945"/>
      <c r="JG46" s="945"/>
      <c r="JH46" s="945"/>
      <c r="JI46" s="945"/>
      <c r="JJ46" s="945"/>
      <c r="JK46" s="945"/>
      <c r="JL46" s="945"/>
      <c r="JM46" s="945"/>
      <c r="JN46" s="945"/>
      <c r="JO46" s="945"/>
      <c r="JP46" s="945"/>
      <c r="JQ46" s="945"/>
      <c r="JR46" s="945"/>
      <c r="JS46" s="945"/>
      <c r="JT46" s="945"/>
      <c r="JU46" s="945"/>
      <c r="JV46" s="945"/>
      <c r="JW46" s="945"/>
      <c r="JX46" s="945"/>
      <c r="JY46" s="945"/>
      <c r="JZ46" s="945"/>
      <c r="KA46" s="945"/>
      <c r="KB46" s="945"/>
      <c r="KC46" s="945"/>
      <c r="KD46" s="945"/>
      <c r="KE46" s="945"/>
      <c r="KF46" s="945"/>
      <c r="KG46" s="945"/>
      <c r="KH46" s="945"/>
      <c r="KI46" s="945"/>
      <c r="KJ46" s="945"/>
      <c r="KK46" s="945"/>
      <c r="KL46" s="945"/>
      <c r="KM46" s="945"/>
      <c r="KN46" s="945"/>
      <c r="KO46" s="945"/>
      <c r="KP46" s="945"/>
      <c r="KQ46" s="945"/>
      <c r="KR46" s="945"/>
      <c r="KS46" s="945"/>
      <c r="KT46" s="945"/>
      <c r="KU46" s="945"/>
      <c r="KV46" s="945"/>
      <c r="KW46" s="945"/>
      <c r="KX46" s="945"/>
      <c r="KY46" s="945"/>
      <c r="KZ46" s="945"/>
      <c r="LA46" s="945"/>
      <c r="LB46" s="945"/>
      <c r="LC46" s="945"/>
      <c r="LD46" s="945"/>
      <c r="LE46" s="945"/>
      <c r="LF46" s="945"/>
      <c r="LG46" s="945"/>
      <c r="LH46" s="945"/>
      <c r="LI46" s="945"/>
      <c r="LJ46" s="945"/>
      <c r="LK46" s="945"/>
      <c r="LL46" s="945"/>
      <c r="LM46" s="945"/>
      <c r="LN46" s="945"/>
      <c r="LO46" s="945"/>
      <c r="LP46" s="945"/>
      <c r="LQ46" s="945"/>
      <c r="LR46" s="945"/>
      <c r="LS46" s="945"/>
      <c r="LT46" s="945"/>
      <c r="LU46" s="945"/>
      <c r="LV46" s="945"/>
      <c r="LW46" s="945"/>
      <c r="LX46" s="945"/>
      <c r="LY46" s="945"/>
      <c r="LZ46" s="945"/>
      <c r="MA46" s="945"/>
      <c r="MB46" s="945"/>
      <c r="MC46" s="945"/>
      <c r="MD46" s="945"/>
      <c r="ME46" s="945"/>
      <c r="MF46" s="945"/>
      <c r="MG46" s="945"/>
      <c r="MH46" s="945"/>
      <c r="MI46" s="945"/>
      <c r="MJ46" s="945"/>
      <c r="MK46" s="945"/>
      <c r="ML46" s="945"/>
      <c r="MM46" s="945"/>
      <c r="MN46" s="945"/>
      <c r="MO46" s="945"/>
      <c r="MP46" s="945"/>
      <c r="MQ46" s="945"/>
      <c r="MR46" s="945"/>
      <c r="MS46" s="945"/>
      <c r="MT46" s="945"/>
      <c r="MU46" s="945"/>
      <c r="MV46" s="945"/>
      <c r="MW46" s="945"/>
      <c r="MX46" s="945"/>
      <c r="MY46" s="945"/>
      <c r="MZ46" s="945"/>
      <c r="NA46" s="945"/>
      <c r="NB46" s="945"/>
      <c r="NC46" s="945"/>
      <c r="ND46" s="945"/>
      <c r="NE46" s="945"/>
      <c r="NF46" s="945"/>
      <c r="NG46" s="945"/>
      <c r="NH46" s="945"/>
      <c r="NI46" s="945"/>
      <c r="NJ46" s="945"/>
      <c r="NK46" s="945"/>
      <c r="NL46" s="945"/>
      <c r="NM46" s="945"/>
      <c r="NN46" s="945"/>
      <c r="NO46" s="945"/>
      <c r="NP46" s="945"/>
      <c r="NQ46" s="945"/>
      <c r="NR46" s="945"/>
      <c r="NS46" s="945"/>
      <c r="NT46" s="945"/>
      <c r="NU46" s="945"/>
      <c r="NV46" s="945"/>
      <c r="NW46" s="945"/>
      <c r="NX46" s="945"/>
      <c r="NY46" s="945"/>
      <c r="NZ46" s="945"/>
      <c r="OA46" s="945"/>
      <c r="OB46" s="945"/>
      <c r="OC46" s="945"/>
      <c r="OD46" s="945"/>
      <c r="OE46" s="945"/>
      <c r="OF46" s="945"/>
      <c r="OG46" s="945"/>
      <c r="OH46" s="945"/>
      <c r="OI46" s="945"/>
      <c r="OJ46" s="945"/>
      <c r="OK46" s="945"/>
      <c r="OL46" s="945"/>
      <c r="OM46" s="945"/>
      <c r="ON46" s="945"/>
      <c r="OO46" s="945"/>
      <c r="OP46" s="945"/>
      <c r="OQ46" s="945"/>
      <c r="OR46" s="945"/>
      <c r="OS46" s="945"/>
      <c r="OT46" s="945"/>
      <c r="OU46" s="945"/>
      <c r="OV46" s="945"/>
      <c r="OW46" s="945"/>
      <c r="OX46" s="945"/>
      <c r="OY46" s="945"/>
      <c r="OZ46" s="945"/>
      <c r="PA46" s="945"/>
      <c r="PB46" s="945"/>
      <c r="PC46" s="945"/>
      <c r="PD46" s="945"/>
      <c r="PE46" s="945"/>
      <c r="PF46" s="945"/>
      <c r="PG46" s="945"/>
      <c r="PH46" s="945"/>
      <c r="PI46" s="945"/>
      <c r="PJ46" s="945"/>
      <c r="PK46" s="945"/>
      <c r="PL46" s="945"/>
      <c r="PM46" s="945"/>
      <c r="PN46" s="945"/>
      <c r="PO46" s="945"/>
      <c r="PP46" s="945"/>
      <c r="PQ46" s="945"/>
      <c r="PR46" s="945"/>
      <c r="PS46" s="945"/>
      <c r="PT46" s="945"/>
      <c r="PU46" s="945"/>
      <c r="PV46" s="945"/>
      <c r="PW46" s="945"/>
      <c r="PX46" s="945"/>
      <c r="PY46" s="945"/>
      <c r="PZ46" s="945"/>
      <c r="QA46" s="945"/>
      <c r="QB46" s="945"/>
      <c r="QC46" s="945"/>
      <c r="QD46" s="945"/>
      <c r="QE46" s="945"/>
      <c r="QF46" s="945"/>
      <c r="QG46" s="945"/>
      <c r="QH46" s="945"/>
      <c r="QI46" s="945"/>
      <c r="QJ46" s="945"/>
      <c r="QK46" s="945"/>
      <c r="QL46" s="945"/>
      <c r="QM46" s="945"/>
      <c r="QN46" s="945"/>
      <c r="QO46" s="945"/>
      <c r="QP46" s="945"/>
      <c r="QQ46" s="945"/>
      <c r="QR46" s="945"/>
      <c r="QS46" s="945"/>
      <c r="QT46" s="945"/>
      <c r="QU46" s="945"/>
      <c r="QV46" s="945"/>
      <c r="QW46" s="945"/>
      <c r="QX46" s="945"/>
      <c r="QY46" s="945"/>
      <c r="QZ46" s="945"/>
      <c r="RA46" s="945"/>
      <c r="RB46" s="945"/>
      <c r="RC46" s="945"/>
      <c r="RD46" s="945"/>
      <c r="RE46" s="945"/>
      <c r="RF46" s="945"/>
      <c r="RG46" s="945"/>
      <c r="RH46" s="945"/>
      <c r="RI46" s="945"/>
      <c r="RJ46" s="945"/>
      <c r="RK46" s="945"/>
      <c r="RL46" s="945"/>
      <c r="RM46" s="945"/>
      <c r="RN46" s="945"/>
      <c r="RO46" s="945"/>
      <c r="RP46" s="945"/>
      <c r="RQ46" s="945"/>
      <c r="RR46" s="945"/>
      <c r="RS46" s="945"/>
      <c r="RT46" s="945"/>
      <c r="RU46" s="945"/>
      <c r="RV46" s="945"/>
      <c r="RW46" s="945"/>
      <c r="RX46" s="945"/>
    </row>
    <row r="47" spans="1:492" s="165" customFormat="1">
      <c r="A47" s="945"/>
      <c r="B47" s="945"/>
      <c r="C47" s="945"/>
      <c r="D47" s="945"/>
      <c r="E47" s="945"/>
      <c r="F47" s="945"/>
      <c r="G47" s="945"/>
      <c r="H47" s="945"/>
      <c r="I47" s="945"/>
      <c r="J47" s="945"/>
      <c r="K47" s="945"/>
      <c r="L47" s="945"/>
      <c r="M47" s="945"/>
      <c r="N47" s="945"/>
      <c r="O47" s="945"/>
      <c r="P47" s="945"/>
      <c r="Q47" s="945"/>
      <c r="R47" s="945"/>
      <c r="S47" s="945"/>
      <c r="T47" s="945"/>
      <c r="U47" s="945"/>
      <c r="V47" s="945"/>
      <c r="W47" s="945"/>
      <c r="X47" s="945"/>
      <c r="Y47" s="945"/>
      <c r="Z47" s="945"/>
      <c r="AA47" s="945"/>
      <c r="AB47" s="945"/>
      <c r="AC47" s="945"/>
      <c r="AD47" s="945"/>
      <c r="AE47" s="945"/>
      <c r="AF47" s="945"/>
      <c r="AG47" s="945"/>
      <c r="AH47" s="945"/>
      <c r="AI47" s="945"/>
      <c r="AJ47" s="945"/>
      <c r="AK47" s="945"/>
      <c r="AL47" s="945"/>
      <c r="AM47" s="951"/>
      <c r="AN47" s="951"/>
      <c r="AO47" s="951"/>
      <c r="AP47" s="951"/>
      <c r="AQ47" s="948"/>
      <c r="AR47" s="948"/>
      <c r="AS47" s="948"/>
      <c r="AT47" s="948"/>
      <c r="AU47" s="948"/>
      <c r="AV47" s="948"/>
      <c r="AW47" s="951"/>
      <c r="AX47" s="951"/>
      <c r="AY47" s="951"/>
      <c r="AZ47" s="951"/>
      <c r="BA47" s="948"/>
      <c r="BB47" s="948"/>
      <c r="BC47" s="948"/>
      <c r="BD47" s="951"/>
      <c r="BE47" s="948"/>
      <c r="BF47" s="171"/>
      <c r="BG47" s="948"/>
      <c r="BH47" s="948"/>
      <c r="BI47" s="951"/>
      <c r="BJ47" s="948"/>
      <c r="BK47" s="171"/>
      <c r="BL47" s="948"/>
      <c r="BM47" s="948"/>
      <c r="BN47" s="951"/>
      <c r="BO47" s="948"/>
      <c r="BP47" s="171"/>
      <c r="BQ47" s="948"/>
      <c r="BR47" s="948"/>
      <c r="BS47" s="951"/>
      <c r="BT47" s="948"/>
      <c r="BU47" s="171"/>
      <c r="BV47" s="948"/>
      <c r="BW47" s="948"/>
      <c r="BX47" s="951"/>
      <c r="BY47" s="948"/>
      <c r="BZ47" s="171"/>
      <c r="CA47" s="945"/>
      <c r="CB47" s="945"/>
      <c r="CC47" s="945"/>
      <c r="CD47" s="945"/>
      <c r="CE47" s="945"/>
      <c r="CF47" s="945"/>
      <c r="CG47" s="945"/>
      <c r="CH47" s="945"/>
      <c r="CI47" s="945"/>
      <c r="CJ47" s="945"/>
      <c r="CK47" s="945"/>
      <c r="CL47" s="945"/>
      <c r="CM47" s="945"/>
      <c r="CN47" s="945"/>
      <c r="CO47" s="945"/>
      <c r="CP47" s="945"/>
      <c r="CQ47" s="945"/>
      <c r="CR47" s="945"/>
      <c r="CS47" s="945"/>
      <c r="CT47" s="945"/>
      <c r="CU47" s="945"/>
      <c r="CV47" s="945"/>
      <c r="CW47" s="945"/>
      <c r="CX47" s="945"/>
      <c r="CY47" s="945"/>
      <c r="CZ47" s="945"/>
      <c r="DA47" s="945"/>
      <c r="DB47" s="945"/>
      <c r="DC47" s="945"/>
      <c r="DD47" s="945"/>
      <c r="DE47" s="945"/>
      <c r="DF47" s="945"/>
      <c r="DG47" s="945"/>
      <c r="DH47" s="945"/>
      <c r="DI47" s="945"/>
      <c r="DJ47" s="945"/>
      <c r="DK47" s="945"/>
      <c r="DL47" s="945"/>
      <c r="DM47" s="945"/>
      <c r="DN47" s="945"/>
      <c r="DO47" s="945"/>
      <c r="DP47" s="945"/>
      <c r="DQ47" s="945"/>
      <c r="DR47" s="945"/>
      <c r="DS47" s="945"/>
      <c r="DT47" s="945"/>
      <c r="DU47" s="945"/>
      <c r="DV47" s="945"/>
      <c r="DW47" s="945"/>
      <c r="DX47" s="945"/>
      <c r="DY47" s="945"/>
      <c r="DZ47" s="945"/>
      <c r="EA47" s="945"/>
      <c r="EB47" s="945"/>
      <c r="EC47" s="945"/>
      <c r="ED47" s="945"/>
      <c r="EE47" s="945"/>
      <c r="EF47" s="945"/>
      <c r="EG47" s="945"/>
      <c r="EH47" s="945"/>
      <c r="EI47" s="945"/>
      <c r="EJ47" s="945"/>
      <c r="EK47" s="945"/>
      <c r="EL47" s="945"/>
      <c r="EM47" s="945"/>
      <c r="EN47" s="945"/>
      <c r="EO47" s="945"/>
      <c r="EP47" s="945"/>
      <c r="EQ47" s="945"/>
      <c r="ER47" s="945"/>
      <c r="ES47" s="945"/>
      <c r="ET47" s="945"/>
      <c r="EU47" s="945"/>
      <c r="EV47" s="945"/>
      <c r="EW47" s="945"/>
      <c r="EX47" s="945"/>
      <c r="EY47" s="945"/>
      <c r="EZ47" s="945"/>
      <c r="FA47" s="945"/>
      <c r="FB47" s="945"/>
      <c r="FC47" s="945"/>
      <c r="FD47" s="945"/>
      <c r="FE47" s="945"/>
      <c r="FF47" s="945"/>
      <c r="FG47" s="945"/>
      <c r="FH47" s="945"/>
      <c r="FI47" s="945"/>
      <c r="FJ47" s="945"/>
      <c r="FK47" s="945"/>
      <c r="FL47" s="945"/>
      <c r="FM47" s="945"/>
      <c r="FN47" s="945"/>
      <c r="FO47" s="945"/>
      <c r="FP47" s="945"/>
      <c r="FQ47" s="945"/>
      <c r="FR47" s="945"/>
      <c r="FS47" s="945"/>
      <c r="FT47" s="945"/>
      <c r="FU47" s="945"/>
      <c r="FV47" s="945"/>
      <c r="FW47" s="945"/>
      <c r="FX47" s="945"/>
      <c r="FY47" s="945"/>
      <c r="FZ47" s="945"/>
      <c r="GA47" s="945"/>
      <c r="GB47" s="945"/>
      <c r="GC47" s="945"/>
      <c r="GD47" s="945"/>
      <c r="GE47" s="945"/>
      <c r="GF47" s="945"/>
      <c r="GG47" s="945"/>
      <c r="GH47" s="945"/>
      <c r="GI47" s="945"/>
      <c r="GJ47" s="945"/>
      <c r="GK47" s="945"/>
      <c r="GL47" s="945"/>
      <c r="GM47" s="945"/>
      <c r="GN47" s="945"/>
      <c r="GO47" s="945"/>
      <c r="GP47" s="945"/>
      <c r="GQ47" s="945"/>
      <c r="GR47" s="945"/>
      <c r="GS47" s="945"/>
      <c r="GT47" s="945"/>
      <c r="GU47" s="945"/>
      <c r="GV47" s="945"/>
      <c r="GW47" s="945"/>
      <c r="GX47" s="945"/>
      <c r="GY47" s="945"/>
      <c r="GZ47" s="945"/>
      <c r="HA47" s="945"/>
      <c r="HB47" s="945"/>
      <c r="HC47" s="945"/>
      <c r="HD47" s="945"/>
      <c r="HE47" s="945"/>
      <c r="HF47" s="945"/>
      <c r="HG47" s="945"/>
      <c r="HH47" s="945"/>
      <c r="HI47" s="945"/>
      <c r="HJ47" s="945"/>
      <c r="HK47" s="945"/>
      <c r="HL47" s="945"/>
      <c r="HM47" s="945"/>
      <c r="HN47" s="945"/>
      <c r="HO47" s="945"/>
      <c r="HP47" s="945"/>
      <c r="HQ47" s="945"/>
      <c r="HR47" s="945"/>
      <c r="HS47" s="945"/>
      <c r="HT47" s="945"/>
      <c r="HU47" s="945"/>
      <c r="HV47" s="945"/>
      <c r="HW47" s="945"/>
      <c r="HX47" s="945"/>
      <c r="HY47" s="945"/>
      <c r="HZ47" s="945"/>
      <c r="IA47" s="945"/>
      <c r="IB47" s="945"/>
      <c r="IC47" s="945"/>
      <c r="ID47" s="945"/>
      <c r="IE47" s="945"/>
      <c r="IF47" s="945"/>
      <c r="IG47" s="945"/>
      <c r="IH47" s="945"/>
      <c r="II47" s="945"/>
      <c r="IJ47" s="945"/>
      <c r="IK47" s="945"/>
      <c r="IL47" s="945"/>
      <c r="IM47" s="945"/>
      <c r="IN47" s="945"/>
      <c r="IO47" s="945"/>
      <c r="IP47" s="945"/>
      <c r="IQ47" s="945"/>
      <c r="IR47" s="945"/>
      <c r="IS47" s="945"/>
      <c r="IT47" s="945"/>
      <c r="IU47" s="945"/>
      <c r="IV47" s="945"/>
      <c r="IW47" s="945"/>
      <c r="IX47" s="945"/>
      <c r="IY47" s="945"/>
      <c r="IZ47" s="945"/>
      <c r="JA47" s="945"/>
      <c r="JB47" s="945"/>
      <c r="JC47" s="945"/>
      <c r="JD47" s="945"/>
      <c r="JE47" s="945"/>
      <c r="JF47" s="945"/>
      <c r="JG47" s="945"/>
      <c r="JH47" s="945"/>
      <c r="JI47" s="945"/>
      <c r="JJ47" s="945"/>
      <c r="JK47" s="945"/>
      <c r="JL47" s="945"/>
      <c r="JM47" s="945"/>
      <c r="JN47" s="945"/>
      <c r="JO47" s="945"/>
      <c r="JP47" s="945"/>
      <c r="JQ47" s="945"/>
      <c r="JR47" s="945"/>
      <c r="JS47" s="945"/>
      <c r="JT47" s="945"/>
      <c r="JU47" s="945"/>
      <c r="JV47" s="945"/>
      <c r="JW47" s="945"/>
      <c r="JX47" s="945"/>
      <c r="JY47" s="945"/>
      <c r="JZ47" s="945"/>
      <c r="KA47" s="945"/>
      <c r="KB47" s="945"/>
      <c r="KC47" s="945"/>
      <c r="KD47" s="945"/>
      <c r="KE47" s="945"/>
      <c r="KF47" s="945"/>
      <c r="KG47" s="945"/>
      <c r="KH47" s="945"/>
      <c r="KI47" s="945"/>
      <c r="KJ47" s="945"/>
      <c r="KK47" s="945"/>
      <c r="KL47" s="945"/>
      <c r="KM47" s="945"/>
      <c r="KN47" s="945"/>
      <c r="KO47" s="945"/>
      <c r="KP47" s="945"/>
      <c r="KQ47" s="945"/>
      <c r="KR47" s="945"/>
      <c r="KS47" s="945"/>
      <c r="KT47" s="945"/>
      <c r="KU47" s="945"/>
      <c r="KV47" s="945"/>
      <c r="KW47" s="945"/>
      <c r="KX47" s="945"/>
      <c r="KY47" s="945"/>
      <c r="KZ47" s="945"/>
      <c r="LA47" s="945"/>
      <c r="LB47" s="945"/>
      <c r="LC47" s="945"/>
      <c r="LD47" s="945"/>
      <c r="LE47" s="945"/>
      <c r="LF47" s="945"/>
      <c r="LG47" s="945"/>
      <c r="LH47" s="945"/>
      <c r="LI47" s="945"/>
      <c r="LJ47" s="945"/>
      <c r="LK47" s="945"/>
      <c r="LL47" s="945"/>
      <c r="LM47" s="945"/>
      <c r="LN47" s="945"/>
      <c r="LO47" s="945"/>
      <c r="LP47" s="945"/>
      <c r="LQ47" s="945"/>
      <c r="LR47" s="945"/>
      <c r="LS47" s="945"/>
      <c r="LT47" s="945"/>
      <c r="LU47" s="945"/>
      <c r="LV47" s="945"/>
      <c r="LW47" s="945"/>
      <c r="LX47" s="945"/>
      <c r="LY47" s="945"/>
      <c r="LZ47" s="945"/>
      <c r="MA47" s="945"/>
      <c r="MB47" s="945"/>
      <c r="MC47" s="945"/>
      <c r="MD47" s="945"/>
      <c r="ME47" s="945"/>
      <c r="MF47" s="945"/>
      <c r="MG47" s="945"/>
      <c r="MH47" s="945"/>
      <c r="MI47" s="945"/>
      <c r="MJ47" s="945"/>
      <c r="MK47" s="945"/>
      <c r="ML47" s="945"/>
      <c r="MM47" s="945"/>
      <c r="MN47" s="945"/>
      <c r="MO47" s="945"/>
      <c r="MP47" s="945"/>
      <c r="MQ47" s="945"/>
      <c r="MR47" s="945"/>
      <c r="MS47" s="945"/>
      <c r="MT47" s="945"/>
      <c r="MU47" s="945"/>
      <c r="MV47" s="945"/>
      <c r="MW47" s="945"/>
      <c r="MX47" s="945"/>
      <c r="MY47" s="945"/>
      <c r="MZ47" s="945"/>
      <c r="NA47" s="945"/>
      <c r="NB47" s="945"/>
      <c r="NC47" s="945"/>
      <c r="ND47" s="945"/>
      <c r="NE47" s="945"/>
      <c r="NF47" s="945"/>
      <c r="NG47" s="945"/>
      <c r="NH47" s="945"/>
      <c r="NI47" s="945"/>
      <c r="NJ47" s="945"/>
      <c r="NK47" s="945"/>
      <c r="NL47" s="945"/>
      <c r="NM47" s="945"/>
      <c r="NN47" s="945"/>
      <c r="NO47" s="945"/>
      <c r="NP47" s="945"/>
      <c r="NQ47" s="945"/>
      <c r="NR47" s="945"/>
      <c r="NS47" s="945"/>
      <c r="NT47" s="945"/>
      <c r="NU47" s="945"/>
      <c r="NV47" s="945"/>
      <c r="NW47" s="945"/>
      <c r="NX47" s="945"/>
      <c r="NY47" s="945"/>
      <c r="NZ47" s="945"/>
      <c r="OA47" s="945"/>
      <c r="OB47" s="945"/>
      <c r="OC47" s="945"/>
      <c r="OD47" s="945"/>
      <c r="OE47" s="945"/>
      <c r="OF47" s="945"/>
      <c r="OG47" s="945"/>
      <c r="OH47" s="945"/>
      <c r="OI47" s="945"/>
      <c r="OJ47" s="945"/>
      <c r="OK47" s="945"/>
      <c r="OL47" s="945"/>
      <c r="OM47" s="945"/>
      <c r="ON47" s="945"/>
      <c r="OO47" s="945"/>
      <c r="OP47" s="945"/>
      <c r="OQ47" s="945"/>
      <c r="OR47" s="945"/>
      <c r="OS47" s="945"/>
      <c r="OT47" s="945"/>
      <c r="OU47" s="945"/>
      <c r="OV47" s="945"/>
      <c r="OW47" s="945"/>
      <c r="OX47" s="945"/>
      <c r="OY47" s="945"/>
      <c r="OZ47" s="945"/>
      <c r="PA47" s="945"/>
      <c r="PB47" s="945"/>
      <c r="PC47" s="945"/>
      <c r="PD47" s="945"/>
      <c r="PE47" s="945"/>
      <c r="PF47" s="945"/>
      <c r="PG47" s="945"/>
      <c r="PH47" s="945"/>
      <c r="PI47" s="945"/>
      <c r="PJ47" s="945"/>
      <c r="PK47" s="945"/>
      <c r="PL47" s="945"/>
      <c r="PM47" s="945"/>
      <c r="PN47" s="945"/>
      <c r="PO47" s="945"/>
      <c r="PP47" s="945"/>
      <c r="PQ47" s="945"/>
      <c r="PR47" s="945"/>
      <c r="PS47" s="945"/>
      <c r="PT47" s="945"/>
      <c r="PU47" s="945"/>
      <c r="PV47" s="945"/>
      <c r="PW47" s="945"/>
      <c r="PX47" s="945"/>
      <c r="PY47" s="945"/>
      <c r="PZ47" s="945"/>
      <c r="QA47" s="945"/>
      <c r="QB47" s="945"/>
      <c r="QC47" s="945"/>
      <c r="QD47" s="945"/>
      <c r="QE47" s="945"/>
      <c r="QF47" s="945"/>
      <c r="QG47" s="945"/>
      <c r="QH47" s="945"/>
      <c r="QI47" s="945"/>
      <c r="QJ47" s="945"/>
      <c r="QK47" s="945"/>
      <c r="QL47" s="945"/>
      <c r="QM47" s="945"/>
      <c r="QN47" s="945"/>
      <c r="QO47" s="945"/>
      <c r="QP47" s="945"/>
      <c r="QQ47" s="945"/>
      <c r="QR47" s="945"/>
      <c r="QS47" s="945"/>
      <c r="QT47" s="945"/>
      <c r="QU47" s="945"/>
      <c r="QV47" s="945"/>
      <c r="QW47" s="945"/>
      <c r="QX47" s="945"/>
      <c r="QY47" s="945"/>
      <c r="QZ47" s="945"/>
      <c r="RA47" s="945"/>
      <c r="RB47" s="945"/>
      <c r="RC47" s="945"/>
      <c r="RD47" s="945"/>
      <c r="RE47" s="945"/>
      <c r="RF47" s="945"/>
      <c r="RG47" s="945"/>
      <c r="RH47" s="945"/>
      <c r="RI47" s="945"/>
      <c r="RJ47" s="945"/>
      <c r="RK47" s="945"/>
      <c r="RL47" s="945"/>
      <c r="RM47" s="945"/>
      <c r="RN47" s="945"/>
      <c r="RO47" s="945"/>
      <c r="RP47" s="945"/>
      <c r="RQ47" s="945"/>
      <c r="RR47" s="945"/>
      <c r="RS47" s="945"/>
      <c r="RT47" s="945"/>
      <c r="RU47" s="945"/>
      <c r="RV47" s="945"/>
      <c r="RW47" s="945"/>
      <c r="RX47" s="945"/>
    </row>
    <row r="48" spans="1:492" s="165" customFormat="1">
      <c r="A48" s="945"/>
      <c r="B48" s="945"/>
      <c r="C48" s="945"/>
      <c r="D48" s="945"/>
      <c r="E48" s="945"/>
      <c r="F48" s="945"/>
      <c r="G48" s="945"/>
      <c r="H48" s="945"/>
      <c r="I48" s="945"/>
      <c r="J48" s="945"/>
      <c r="K48" s="945"/>
      <c r="L48" s="945"/>
      <c r="M48" s="945"/>
      <c r="N48" s="945"/>
      <c r="O48" s="945"/>
      <c r="P48" s="945"/>
      <c r="Q48" s="945"/>
      <c r="R48" s="945"/>
      <c r="S48" s="945"/>
      <c r="T48" s="945"/>
      <c r="U48" s="945"/>
      <c r="V48" s="945"/>
      <c r="W48" s="945"/>
      <c r="X48" s="945"/>
      <c r="Y48" s="945"/>
      <c r="Z48" s="945"/>
      <c r="AA48" s="945"/>
      <c r="AB48" s="945"/>
      <c r="AC48" s="945"/>
      <c r="AD48" s="945"/>
      <c r="AE48" s="945"/>
      <c r="AF48" s="945"/>
      <c r="AG48" s="945"/>
      <c r="AH48" s="945"/>
      <c r="AI48" s="945"/>
      <c r="AJ48" s="945"/>
      <c r="AK48" s="945"/>
      <c r="AL48" s="945"/>
      <c r="AM48" s="951"/>
      <c r="AN48" s="951"/>
      <c r="AO48" s="951"/>
      <c r="AP48" s="951"/>
      <c r="AQ48" s="948"/>
      <c r="AR48" s="948"/>
      <c r="AS48" s="948"/>
      <c r="AT48" s="948"/>
      <c r="AU48" s="948"/>
      <c r="AV48" s="948"/>
      <c r="AW48" s="951"/>
      <c r="AX48" s="951"/>
      <c r="AY48" s="951"/>
      <c r="AZ48" s="951"/>
      <c r="BA48" s="948"/>
      <c r="BB48" s="948"/>
      <c r="BC48" s="948"/>
      <c r="BD48" s="173"/>
      <c r="BE48" s="171"/>
      <c r="BF48" s="948"/>
      <c r="BG48" s="948"/>
      <c r="BH48" s="948"/>
      <c r="BI48" s="173"/>
      <c r="BJ48" s="171"/>
      <c r="BK48" s="948"/>
      <c r="BL48" s="948"/>
      <c r="BM48" s="948"/>
      <c r="BN48" s="173"/>
      <c r="BO48" s="171"/>
      <c r="BP48" s="948"/>
      <c r="BQ48" s="948"/>
      <c r="BR48" s="948"/>
      <c r="BS48" s="173"/>
      <c r="BT48" s="171"/>
      <c r="BU48" s="948"/>
      <c r="BV48" s="948"/>
      <c r="BW48" s="948"/>
      <c r="BX48" s="173"/>
      <c r="BY48" s="171"/>
      <c r="BZ48" s="948"/>
      <c r="CA48" s="945"/>
      <c r="CB48" s="945"/>
      <c r="CC48" s="945"/>
      <c r="CD48" s="945"/>
      <c r="CE48" s="945"/>
      <c r="CF48" s="945"/>
      <c r="CG48" s="945"/>
      <c r="CH48" s="945"/>
      <c r="CI48" s="945"/>
      <c r="CJ48" s="945"/>
      <c r="CK48" s="945"/>
      <c r="CL48" s="945"/>
      <c r="CM48" s="945"/>
      <c r="CN48" s="945"/>
      <c r="CO48" s="945"/>
      <c r="CP48" s="945"/>
      <c r="CQ48" s="945"/>
      <c r="CR48" s="945"/>
      <c r="CS48" s="945"/>
      <c r="CT48" s="945"/>
      <c r="CU48" s="945"/>
      <c r="CV48" s="945"/>
      <c r="CW48" s="945"/>
      <c r="CX48" s="945"/>
      <c r="CY48" s="945"/>
      <c r="CZ48" s="945"/>
      <c r="DA48" s="945"/>
      <c r="DB48" s="945"/>
      <c r="DC48" s="945"/>
      <c r="DD48" s="945"/>
      <c r="DE48" s="945"/>
      <c r="DF48" s="945"/>
      <c r="DG48" s="945"/>
      <c r="DH48" s="945"/>
      <c r="DI48" s="945"/>
      <c r="DJ48" s="945"/>
      <c r="DK48" s="945"/>
      <c r="DL48" s="945"/>
      <c r="DM48" s="945"/>
      <c r="DN48" s="945"/>
      <c r="DO48" s="945"/>
      <c r="DP48" s="945"/>
      <c r="DQ48" s="945"/>
      <c r="DR48" s="945"/>
      <c r="DS48" s="945"/>
      <c r="DT48" s="945"/>
      <c r="DU48" s="945"/>
      <c r="DV48" s="945"/>
      <c r="DW48" s="945"/>
      <c r="DX48" s="945"/>
      <c r="DY48" s="945"/>
      <c r="DZ48" s="945"/>
      <c r="EA48" s="945"/>
      <c r="EB48" s="945"/>
      <c r="EC48" s="945"/>
      <c r="ED48" s="945"/>
      <c r="EE48" s="945"/>
      <c r="EF48" s="945"/>
      <c r="EG48" s="945"/>
      <c r="EH48" s="945"/>
      <c r="EI48" s="945"/>
      <c r="EJ48" s="945"/>
      <c r="EK48" s="945"/>
      <c r="EL48" s="945"/>
      <c r="EM48" s="945"/>
      <c r="EN48" s="945"/>
      <c r="EO48" s="945"/>
      <c r="EP48" s="945"/>
      <c r="EQ48" s="945"/>
      <c r="ER48" s="945"/>
      <c r="ES48" s="945"/>
      <c r="ET48" s="945"/>
      <c r="EU48" s="945"/>
      <c r="EV48" s="945"/>
      <c r="EW48" s="945"/>
      <c r="EX48" s="945"/>
      <c r="EY48" s="945"/>
      <c r="EZ48" s="945"/>
      <c r="FA48" s="945"/>
      <c r="FB48" s="945"/>
      <c r="FC48" s="945"/>
      <c r="FD48" s="945"/>
      <c r="FE48" s="945"/>
      <c r="FF48" s="945"/>
      <c r="FG48" s="945"/>
      <c r="FH48" s="945"/>
      <c r="FI48" s="945"/>
      <c r="FJ48" s="945"/>
      <c r="FK48" s="945"/>
      <c r="FL48" s="945"/>
      <c r="FM48" s="945"/>
      <c r="FN48" s="945"/>
      <c r="FO48" s="945"/>
      <c r="FP48" s="945"/>
      <c r="FQ48" s="945"/>
      <c r="FR48" s="945"/>
      <c r="FS48" s="945"/>
      <c r="FT48" s="945"/>
      <c r="FU48" s="945"/>
      <c r="FV48" s="945"/>
      <c r="FW48" s="945"/>
      <c r="FX48" s="945"/>
      <c r="FY48" s="945"/>
      <c r="FZ48" s="945"/>
      <c r="GA48" s="945"/>
      <c r="GB48" s="945"/>
      <c r="GC48" s="945"/>
      <c r="GD48" s="945"/>
      <c r="GE48" s="945"/>
      <c r="GF48" s="945"/>
      <c r="GG48" s="945"/>
      <c r="GH48" s="945"/>
      <c r="GI48" s="945"/>
      <c r="GJ48" s="945"/>
      <c r="GK48" s="945"/>
      <c r="GL48" s="945"/>
      <c r="GM48" s="945"/>
      <c r="GN48" s="945"/>
      <c r="GO48" s="945"/>
      <c r="GP48" s="945"/>
      <c r="GQ48" s="945"/>
      <c r="GR48" s="945"/>
      <c r="GS48" s="945"/>
      <c r="GT48" s="945"/>
      <c r="GU48" s="945"/>
      <c r="GV48" s="945"/>
      <c r="GW48" s="945"/>
      <c r="GX48" s="945"/>
      <c r="GY48" s="945"/>
      <c r="GZ48" s="945"/>
      <c r="HA48" s="945"/>
      <c r="HB48" s="945"/>
      <c r="HC48" s="945"/>
      <c r="HD48" s="945"/>
      <c r="HE48" s="945"/>
      <c r="HF48" s="945"/>
      <c r="HG48" s="945"/>
      <c r="HH48" s="945"/>
      <c r="HI48" s="945"/>
      <c r="HJ48" s="945"/>
      <c r="HK48" s="945"/>
      <c r="HL48" s="945"/>
      <c r="HM48" s="945"/>
      <c r="HN48" s="945"/>
      <c r="HO48" s="945"/>
      <c r="HP48" s="945"/>
      <c r="HQ48" s="945"/>
      <c r="HR48" s="945"/>
      <c r="HS48" s="945"/>
      <c r="HT48" s="945"/>
      <c r="HU48" s="945"/>
      <c r="HV48" s="945"/>
      <c r="HW48" s="945"/>
      <c r="HX48" s="945"/>
      <c r="HY48" s="945"/>
      <c r="HZ48" s="945"/>
      <c r="IA48" s="945"/>
      <c r="IB48" s="945"/>
      <c r="IC48" s="945"/>
      <c r="ID48" s="945"/>
      <c r="IE48" s="945"/>
      <c r="IF48" s="945"/>
      <c r="IG48" s="945"/>
      <c r="IH48" s="945"/>
      <c r="II48" s="945"/>
      <c r="IJ48" s="945"/>
      <c r="IK48" s="945"/>
      <c r="IL48" s="945"/>
      <c r="IM48" s="945"/>
      <c r="IN48" s="945"/>
      <c r="IO48" s="945"/>
      <c r="IP48" s="945"/>
      <c r="IQ48" s="945"/>
      <c r="IR48" s="945"/>
      <c r="IS48" s="945"/>
      <c r="IT48" s="945"/>
      <c r="IU48" s="945"/>
      <c r="IV48" s="945"/>
      <c r="IW48" s="945"/>
      <c r="IX48" s="945"/>
      <c r="IY48" s="945"/>
      <c r="IZ48" s="945"/>
      <c r="JA48" s="945"/>
      <c r="JB48" s="945"/>
      <c r="JC48" s="945"/>
      <c r="JD48" s="945"/>
      <c r="JE48" s="945"/>
      <c r="JF48" s="945"/>
      <c r="JG48" s="945"/>
      <c r="JH48" s="945"/>
      <c r="JI48" s="945"/>
      <c r="JJ48" s="945"/>
      <c r="JK48" s="945"/>
      <c r="JL48" s="945"/>
      <c r="JM48" s="945"/>
      <c r="JN48" s="945"/>
      <c r="JO48" s="945"/>
      <c r="JP48" s="945"/>
      <c r="JQ48" s="945"/>
      <c r="JR48" s="945"/>
      <c r="JS48" s="945"/>
      <c r="JT48" s="945"/>
      <c r="JU48" s="945"/>
      <c r="JV48" s="945"/>
      <c r="JW48" s="945"/>
      <c r="JX48" s="945"/>
      <c r="JY48" s="945"/>
      <c r="JZ48" s="945"/>
      <c r="KA48" s="945"/>
      <c r="KB48" s="945"/>
      <c r="KC48" s="945"/>
      <c r="KD48" s="945"/>
      <c r="KE48" s="945"/>
      <c r="KF48" s="945"/>
      <c r="KG48" s="945"/>
      <c r="KH48" s="945"/>
      <c r="KI48" s="945"/>
      <c r="KJ48" s="945"/>
      <c r="KK48" s="945"/>
      <c r="KL48" s="945"/>
      <c r="KM48" s="945"/>
      <c r="KN48" s="945"/>
      <c r="KO48" s="945"/>
      <c r="KP48" s="945"/>
      <c r="KQ48" s="945"/>
      <c r="KR48" s="945"/>
      <c r="KS48" s="945"/>
      <c r="KT48" s="945"/>
      <c r="KU48" s="945"/>
      <c r="KV48" s="945"/>
      <c r="KW48" s="945"/>
      <c r="KX48" s="945"/>
      <c r="KY48" s="945"/>
      <c r="KZ48" s="945"/>
      <c r="LA48" s="945"/>
      <c r="LB48" s="945"/>
      <c r="LC48" s="945"/>
      <c r="LD48" s="945"/>
      <c r="LE48" s="945"/>
      <c r="LF48" s="945"/>
      <c r="LG48" s="945"/>
      <c r="LH48" s="945"/>
      <c r="LI48" s="945"/>
      <c r="LJ48" s="945"/>
      <c r="LK48" s="945"/>
      <c r="LL48" s="945"/>
      <c r="LM48" s="945"/>
      <c r="LN48" s="945"/>
      <c r="LO48" s="945"/>
      <c r="LP48" s="945"/>
      <c r="LQ48" s="945"/>
      <c r="LR48" s="945"/>
      <c r="LS48" s="945"/>
      <c r="LT48" s="945"/>
      <c r="LU48" s="945"/>
      <c r="LV48" s="945"/>
      <c r="LW48" s="945"/>
      <c r="LX48" s="945"/>
      <c r="LY48" s="945"/>
      <c r="LZ48" s="945"/>
      <c r="MA48" s="945"/>
      <c r="MB48" s="945"/>
      <c r="MC48" s="945"/>
      <c r="MD48" s="945"/>
      <c r="ME48" s="945"/>
      <c r="MF48" s="945"/>
      <c r="MG48" s="945"/>
      <c r="MH48" s="945"/>
      <c r="MI48" s="945"/>
      <c r="MJ48" s="945"/>
      <c r="MK48" s="945"/>
      <c r="ML48" s="945"/>
      <c r="MM48" s="945"/>
      <c r="MN48" s="945"/>
      <c r="MO48" s="945"/>
      <c r="MP48" s="945"/>
      <c r="MQ48" s="945"/>
      <c r="MR48" s="945"/>
      <c r="MS48" s="945"/>
      <c r="MT48" s="945"/>
      <c r="MU48" s="945"/>
      <c r="MV48" s="945"/>
      <c r="MW48" s="945"/>
      <c r="MX48" s="945"/>
      <c r="MY48" s="945"/>
      <c r="MZ48" s="945"/>
      <c r="NA48" s="945"/>
      <c r="NB48" s="945"/>
      <c r="NC48" s="945"/>
      <c r="ND48" s="945"/>
      <c r="NE48" s="945"/>
      <c r="NF48" s="945"/>
      <c r="NG48" s="945"/>
      <c r="NH48" s="945"/>
      <c r="NI48" s="945"/>
      <c r="NJ48" s="945"/>
      <c r="NK48" s="945"/>
      <c r="NL48" s="945"/>
      <c r="NM48" s="945"/>
      <c r="NN48" s="945"/>
      <c r="NO48" s="945"/>
      <c r="NP48" s="945"/>
      <c r="NQ48" s="945"/>
      <c r="NR48" s="945"/>
      <c r="NS48" s="945"/>
      <c r="NT48" s="945"/>
      <c r="NU48" s="945"/>
      <c r="NV48" s="945"/>
      <c r="NW48" s="945"/>
      <c r="NX48" s="945"/>
      <c r="NY48" s="945"/>
      <c r="NZ48" s="945"/>
      <c r="OA48" s="945"/>
      <c r="OB48" s="945"/>
      <c r="OC48" s="945"/>
      <c r="OD48" s="945"/>
      <c r="OE48" s="945"/>
      <c r="OF48" s="945"/>
      <c r="OG48" s="945"/>
      <c r="OH48" s="945"/>
      <c r="OI48" s="945"/>
      <c r="OJ48" s="945"/>
      <c r="OK48" s="945"/>
      <c r="OL48" s="945"/>
      <c r="OM48" s="945"/>
      <c r="ON48" s="945"/>
      <c r="OO48" s="945"/>
      <c r="OP48" s="945"/>
      <c r="OQ48" s="945"/>
      <c r="OR48" s="945"/>
      <c r="OS48" s="945"/>
      <c r="OT48" s="945"/>
      <c r="OU48" s="945"/>
      <c r="OV48" s="945"/>
      <c r="OW48" s="945"/>
      <c r="OX48" s="945"/>
      <c r="OY48" s="945"/>
      <c r="OZ48" s="945"/>
      <c r="PA48" s="945"/>
      <c r="PB48" s="945"/>
      <c r="PC48" s="945"/>
      <c r="PD48" s="945"/>
      <c r="PE48" s="945"/>
      <c r="PF48" s="945"/>
      <c r="PG48" s="945"/>
      <c r="PH48" s="945"/>
      <c r="PI48" s="945"/>
      <c r="PJ48" s="945"/>
      <c r="PK48" s="945"/>
      <c r="PL48" s="945"/>
      <c r="PM48" s="945"/>
      <c r="PN48" s="945"/>
      <c r="PO48" s="945"/>
      <c r="PP48" s="945"/>
      <c r="PQ48" s="945"/>
      <c r="PR48" s="945"/>
      <c r="PS48" s="945"/>
      <c r="PT48" s="945"/>
      <c r="PU48" s="945"/>
      <c r="PV48" s="945"/>
      <c r="PW48" s="945"/>
      <c r="PX48" s="945"/>
      <c r="PY48" s="945"/>
      <c r="PZ48" s="945"/>
      <c r="QA48" s="945"/>
      <c r="QB48" s="945"/>
      <c r="QC48" s="945"/>
      <c r="QD48" s="945"/>
      <c r="QE48" s="945"/>
      <c r="QF48" s="945"/>
      <c r="QG48" s="945"/>
      <c r="QH48" s="945"/>
      <c r="QI48" s="945"/>
      <c r="QJ48" s="945"/>
      <c r="QK48" s="945"/>
      <c r="QL48" s="945"/>
      <c r="QM48" s="945"/>
      <c r="QN48" s="945"/>
      <c r="QO48" s="945"/>
      <c r="QP48" s="945"/>
      <c r="QQ48" s="945"/>
      <c r="QR48" s="945"/>
      <c r="QS48" s="945"/>
      <c r="QT48" s="945"/>
      <c r="QU48" s="945"/>
      <c r="QV48" s="945"/>
      <c r="QW48" s="945"/>
      <c r="QX48" s="945"/>
      <c r="QY48" s="945"/>
      <c r="QZ48" s="945"/>
      <c r="RA48" s="945"/>
      <c r="RB48" s="945"/>
      <c r="RC48" s="945"/>
      <c r="RD48" s="945"/>
      <c r="RE48" s="945"/>
      <c r="RF48" s="945"/>
      <c r="RG48" s="945"/>
      <c r="RH48" s="945"/>
      <c r="RI48" s="945"/>
      <c r="RJ48" s="945"/>
      <c r="RK48" s="945"/>
      <c r="RL48" s="945"/>
      <c r="RM48" s="945"/>
      <c r="RN48" s="945"/>
      <c r="RO48" s="945"/>
      <c r="RP48" s="945"/>
      <c r="RQ48" s="945"/>
      <c r="RR48" s="945"/>
      <c r="RS48" s="945"/>
      <c r="RT48" s="945"/>
      <c r="RU48" s="945"/>
      <c r="RV48" s="945"/>
      <c r="RW48" s="945"/>
      <c r="RX48" s="945"/>
    </row>
    <row r="49" spans="1:492" s="165" customFormat="1">
      <c r="A49" s="945"/>
      <c r="B49" s="945"/>
      <c r="C49" s="945"/>
      <c r="D49" s="945"/>
      <c r="E49" s="945"/>
      <c r="F49" s="945"/>
      <c r="G49" s="945"/>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8"/>
      <c r="AN49" s="948"/>
      <c r="AO49" s="948"/>
      <c r="AP49" s="948"/>
      <c r="AQ49" s="948"/>
      <c r="AR49" s="948"/>
      <c r="AS49" s="948"/>
      <c r="AT49" s="948"/>
      <c r="AU49" s="948"/>
      <c r="AV49" s="948"/>
      <c r="AW49" s="948"/>
      <c r="AX49" s="948"/>
      <c r="AY49" s="948"/>
      <c r="AZ49" s="948"/>
      <c r="BA49" s="948"/>
      <c r="BB49" s="948"/>
      <c r="BC49" s="948"/>
      <c r="BD49" s="948"/>
      <c r="BE49" s="948"/>
      <c r="BF49" s="948"/>
      <c r="BG49" s="948"/>
      <c r="BH49" s="948"/>
      <c r="BI49" s="948"/>
      <c r="BJ49" s="948"/>
      <c r="BK49" s="948"/>
      <c r="BL49" s="948"/>
      <c r="BM49" s="948"/>
      <c r="BN49" s="948"/>
      <c r="BO49" s="948"/>
      <c r="BP49" s="948"/>
      <c r="BQ49" s="948"/>
      <c r="BR49" s="948"/>
      <c r="BS49" s="948"/>
      <c r="BT49" s="948"/>
      <c r="BU49" s="948"/>
      <c r="BV49" s="948"/>
      <c r="BW49" s="948"/>
      <c r="BX49" s="948"/>
      <c r="BY49" s="948"/>
      <c r="BZ49" s="948"/>
      <c r="CA49" s="945"/>
      <c r="CB49" s="945"/>
      <c r="CC49" s="945"/>
      <c r="CD49" s="945"/>
      <c r="CE49" s="945"/>
      <c r="CF49" s="945"/>
      <c r="CG49" s="945"/>
      <c r="CH49" s="945"/>
      <c r="CI49" s="945"/>
      <c r="CJ49" s="945"/>
      <c r="CK49" s="945"/>
      <c r="CL49" s="945"/>
      <c r="CM49" s="945"/>
      <c r="CN49" s="945"/>
      <c r="CO49" s="945"/>
      <c r="CP49" s="945"/>
      <c r="CQ49" s="945"/>
      <c r="CR49" s="945"/>
      <c r="CS49" s="945"/>
      <c r="CT49" s="945"/>
      <c r="CU49" s="945"/>
      <c r="CV49" s="945"/>
      <c r="CW49" s="945"/>
      <c r="CX49" s="945"/>
      <c r="CY49" s="945"/>
      <c r="CZ49" s="945"/>
      <c r="DA49" s="945"/>
      <c r="DB49" s="945"/>
      <c r="DC49" s="945"/>
      <c r="DD49" s="945"/>
      <c r="DE49" s="945"/>
      <c r="DF49" s="945"/>
      <c r="DG49" s="945"/>
      <c r="DH49" s="945"/>
      <c r="DI49" s="945"/>
      <c r="DJ49" s="945"/>
      <c r="DK49" s="945"/>
      <c r="DL49" s="945"/>
      <c r="DM49" s="945"/>
      <c r="DN49" s="945"/>
      <c r="DO49" s="945"/>
      <c r="DP49" s="945"/>
      <c r="DQ49" s="945"/>
      <c r="DR49" s="945"/>
      <c r="DS49" s="945"/>
      <c r="DT49" s="945"/>
      <c r="DU49" s="945"/>
      <c r="DV49" s="945"/>
      <c r="DW49" s="945"/>
      <c r="DX49" s="945"/>
      <c r="DY49" s="945"/>
      <c r="DZ49" s="945"/>
      <c r="EA49" s="945"/>
      <c r="EB49" s="945"/>
      <c r="EC49" s="945"/>
      <c r="ED49" s="945"/>
      <c r="EE49" s="945"/>
      <c r="EF49" s="945"/>
      <c r="EG49" s="945"/>
      <c r="EH49" s="945"/>
      <c r="EI49" s="945"/>
      <c r="EJ49" s="945"/>
      <c r="EK49" s="945"/>
      <c r="EL49" s="945"/>
      <c r="EM49" s="945"/>
      <c r="EN49" s="945"/>
      <c r="EO49" s="945"/>
      <c r="EP49" s="945"/>
      <c r="EQ49" s="945"/>
      <c r="ER49" s="945"/>
      <c r="ES49" s="945"/>
      <c r="ET49" s="945"/>
      <c r="EU49" s="945"/>
      <c r="EV49" s="945"/>
      <c r="EW49" s="945"/>
      <c r="EX49" s="945"/>
      <c r="EY49" s="945"/>
      <c r="EZ49" s="945"/>
      <c r="FA49" s="945"/>
      <c r="FB49" s="945"/>
      <c r="FC49" s="945"/>
      <c r="FD49" s="945"/>
      <c r="FE49" s="945"/>
      <c r="FF49" s="945"/>
      <c r="FG49" s="945"/>
      <c r="FH49" s="945"/>
      <c r="FI49" s="945"/>
      <c r="FJ49" s="945"/>
      <c r="FK49" s="945"/>
      <c r="FL49" s="945"/>
      <c r="FM49" s="945"/>
      <c r="FN49" s="945"/>
      <c r="FO49" s="945"/>
      <c r="FP49" s="945"/>
      <c r="FQ49" s="945"/>
      <c r="FR49" s="945"/>
      <c r="FS49" s="945"/>
      <c r="FT49" s="945"/>
      <c r="FU49" s="945"/>
      <c r="FV49" s="945"/>
      <c r="FW49" s="945"/>
      <c r="FX49" s="945"/>
      <c r="FY49" s="945"/>
      <c r="FZ49" s="945"/>
      <c r="GA49" s="945"/>
      <c r="GB49" s="945"/>
      <c r="GC49" s="945"/>
      <c r="GD49" s="945"/>
      <c r="GE49" s="945"/>
      <c r="GF49" s="945"/>
      <c r="GG49" s="945"/>
      <c r="GH49" s="945"/>
      <c r="GI49" s="945"/>
      <c r="GJ49" s="945"/>
      <c r="GK49" s="945"/>
      <c r="GL49" s="945"/>
      <c r="GM49" s="945"/>
      <c r="GN49" s="945"/>
      <c r="GO49" s="945"/>
      <c r="GP49" s="945"/>
      <c r="GQ49" s="945"/>
      <c r="GR49" s="945"/>
      <c r="GS49" s="945"/>
      <c r="GT49" s="945"/>
      <c r="GU49" s="945"/>
      <c r="GV49" s="945"/>
      <c r="GW49" s="945"/>
      <c r="GX49" s="945"/>
      <c r="GY49" s="945"/>
      <c r="GZ49" s="945"/>
      <c r="HA49" s="945"/>
      <c r="HB49" s="945"/>
      <c r="HC49" s="945"/>
      <c r="HD49" s="945"/>
      <c r="HE49" s="945"/>
      <c r="HF49" s="945"/>
      <c r="HG49" s="945"/>
      <c r="HH49" s="945"/>
      <c r="HI49" s="945"/>
      <c r="HJ49" s="945"/>
      <c r="HK49" s="945"/>
      <c r="HL49" s="945"/>
      <c r="HM49" s="945"/>
      <c r="HN49" s="945"/>
      <c r="HO49" s="945"/>
      <c r="HP49" s="945"/>
      <c r="HQ49" s="945"/>
      <c r="HR49" s="945"/>
      <c r="HS49" s="945"/>
      <c r="HT49" s="945"/>
      <c r="HU49" s="945"/>
      <c r="HV49" s="945"/>
      <c r="HW49" s="945"/>
      <c r="HX49" s="945"/>
      <c r="HY49" s="945"/>
      <c r="HZ49" s="945"/>
      <c r="IA49" s="945"/>
      <c r="IB49" s="945"/>
      <c r="IC49" s="945"/>
      <c r="ID49" s="945"/>
      <c r="IE49" s="945"/>
      <c r="IF49" s="945"/>
      <c r="IG49" s="945"/>
      <c r="IH49" s="945"/>
      <c r="II49" s="945"/>
      <c r="IJ49" s="945"/>
      <c r="IK49" s="945"/>
      <c r="IL49" s="945"/>
      <c r="IM49" s="945"/>
      <c r="IN49" s="945"/>
      <c r="IO49" s="945"/>
      <c r="IP49" s="945"/>
      <c r="IQ49" s="945"/>
      <c r="IR49" s="945"/>
      <c r="IS49" s="945"/>
      <c r="IT49" s="945"/>
      <c r="IU49" s="945"/>
      <c r="IV49" s="945"/>
      <c r="IW49" s="945"/>
      <c r="IX49" s="945"/>
      <c r="IY49" s="945"/>
      <c r="IZ49" s="945"/>
      <c r="JA49" s="945"/>
      <c r="JB49" s="945"/>
      <c r="JC49" s="945"/>
      <c r="JD49" s="945"/>
      <c r="JE49" s="945"/>
      <c r="JF49" s="945"/>
      <c r="JG49" s="945"/>
      <c r="JH49" s="945"/>
      <c r="JI49" s="945"/>
      <c r="JJ49" s="945"/>
      <c r="JK49" s="945"/>
      <c r="JL49" s="945"/>
      <c r="JM49" s="945"/>
      <c r="JN49" s="945"/>
      <c r="JO49" s="945"/>
      <c r="JP49" s="945"/>
      <c r="JQ49" s="945"/>
      <c r="JR49" s="945"/>
      <c r="JS49" s="945"/>
      <c r="JT49" s="945"/>
      <c r="JU49" s="945"/>
      <c r="JV49" s="945"/>
      <c r="JW49" s="945"/>
      <c r="JX49" s="945"/>
      <c r="JY49" s="945"/>
      <c r="JZ49" s="945"/>
      <c r="KA49" s="945"/>
      <c r="KB49" s="945"/>
      <c r="KC49" s="945"/>
      <c r="KD49" s="945"/>
      <c r="KE49" s="945"/>
      <c r="KF49" s="945"/>
      <c r="KG49" s="945"/>
      <c r="KH49" s="945"/>
      <c r="KI49" s="945"/>
      <c r="KJ49" s="945"/>
      <c r="KK49" s="945"/>
      <c r="KL49" s="945"/>
      <c r="KM49" s="945"/>
      <c r="KN49" s="945"/>
      <c r="KO49" s="945"/>
      <c r="KP49" s="945"/>
      <c r="KQ49" s="945"/>
      <c r="KR49" s="945"/>
      <c r="KS49" s="945"/>
      <c r="KT49" s="945"/>
      <c r="KU49" s="945"/>
      <c r="KV49" s="945"/>
      <c r="KW49" s="945"/>
      <c r="KX49" s="945"/>
      <c r="KY49" s="945"/>
      <c r="KZ49" s="945"/>
      <c r="LA49" s="945"/>
      <c r="LB49" s="945"/>
      <c r="LC49" s="945"/>
      <c r="LD49" s="945"/>
      <c r="LE49" s="945"/>
      <c r="LF49" s="945"/>
      <c r="LG49" s="945"/>
      <c r="LH49" s="945"/>
      <c r="LI49" s="945"/>
      <c r="LJ49" s="945"/>
      <c r="LK49" s="945"/>
      <c r="LL49" s="945"/>
      <c r="LM49" s="945"/>
      <c r="LN49" s="945"/>
      <c r="LO49" s="945"/>
      <c r="LP49" s="945"/>
      <c r="LQ49" s="945"/>
      <c r="LR49" s="945"/>
      <c r="LS49" s="945"/>
      <c r="LT49" s="945"/>
      <c r="LU49" s="945"/>
      <c r="LV49" s="945"/>
      <c r="LW49" s="945"/>
      <c r="LX49" s="945"/>
      <c r="LY49" s="945"/>
      <c r="LZ49" s="945"/>
      <c r="MA49" s="945"/>
      <c r="MB49" s="945"/>
      <c r="MC49" s="945"/>
      <c r="MD49" s="945"/>
      <c r="ME49" s="945"/>
      <c r="MF49" s="945"/>
      <c r="MG49" s="945"/>
      <c r="MH49" s="945"/>
      <c r="MI49" s="945"/>
      <c r="MJ49" s="945"/>
      <c r="MK49" s="945"/>
      <c r="ML49" s="945"/>
      <c r="MM49" s="945"/>
      <c r="MN49" s="945"/>
      <c r="MO49" s="945"/>
      <c r="MP49" s="945"/>
      <c r="MQ49" s="945"/>
      <c r="MR49" s="945"/>
      <c r="MS49" s="945"/>
      <c r="MT49" s="945"/>
      <c r="MU49" s="945"/>
      <c r="MV49" s="945"/>
      <c r="MW49" s="945"/>
      <c r="MX49" s="945"/>
      <c r="MY49" s="945"/>
      <c r="MZ49" s="945"/>
      <c r="NA49" s="945"/>
      <c r="NB49" s="945"/>
      <c r="NC49" s="945"/>
      <c r="ND49" s="945"/>
      <c r="NE49" s="945"/>
      <c r="NF49" s="945"/>
      <c r="NG49" s="945"/>
      <c r="NH49" s="945"/>
      <c r="NI49" s="945"/>
      <c r="NJ49" s="945"/>
      <c r="NK49" s="945"/>
      <c r="NL49" s="945"/>
      <c r="NM49" s="945"/>
      <c r="NN49" s="945"/>
      <c r="NO49" s="945"/>
      <c r="NP49" s="945"/>
      <c r="NQ49" s="945"/>
      <c r="NR49" s="945"/>
      <c r="NS49" s="945"/>
      <c r="NT49" s="945"/>
      <c r="NU49" s="945"/>
      <c r="NV49" s="945"/>
      <c r="NW49" s="945"/>
      <c r="NX49" s="945"/>
      <c r="NY49" s="945"/>
      <c r="NZ49" s="945"/>
      <c r="OA49" s="945"/>
      <c r="OB49" s="945"/>
      <c r="OC49" s="945"/>
      <c r="OD49" s="945"/>
      <c r="OE49" s="945"/>
      <c r="OF49" s="945"/>
      <c r="OG49" s="945"/>
      <c r="OH49" s="945"/>
      <c r="OI49" s="945"/>
      <c r="OJ49" s="945"/>
      <c r="OK49" s="945"/>
      <c r="OL49" s="945"/>
      <c r="OM49" s="945"/>
      <c r="ON49" s="945"/>
      <c r="OO49" s="945"/>
      <c r="OP49" s="945"/>
      <c r="OQ49" s="945"/>
      <c r="OR49" s="945"/>
      <c r="OS49" s="945"/>
      <c r="OT49" s="945"/>
      <c r="OU49" s="945"/>
      <c r="OV49" s="945"/>
      <c r="OW49" s="945"/>
      <c r="OX49" s="945"/>
      <c r="OY49" s="945"/>
      <c r="OZ49" s="945"/>
      <c r="PA49" s="945"/>
      <c r="PB49" s="945"/>
      <c r="PC49" s="945"/>
      <c r="PD49" s="945"/>
      <c r="PE49" s="945"/>
      <c r="PF49" s="945"/>
      <c r="PG49" s="945"/>
      <c r="PH49" s="945"/>
      <c r="PI49" s="945"/>
      <c r="PJ49" s="945"/>
      <c r="PK49" s="945"/>
      <c r="PL49" s="945"/>
      <c r="PM49" s="945"/>
      <c r="PN49" s="945"/>
      <c r="PO49" s="945"/>
      <c r="PP49" s="945"/>
      <c r="PQ49" s="945"/>
      <c r="PR49" s="945"/>
      <c r="PS49" s="945"/>
      <c r="PT49" s="945"/>
      <c r="PU49" s="945"/>
      <c r="PV49" s="945"/>
      <c r="PW49" s="945"/>
      <c r="PX49" s="945"/>
      <c r="PY49" s="945"/>
      <c r="PZ49" s="945"/>
      <c r="QA49" s="945"/>
      <c r="QB49" s="945"/>
      <c r="QC49" s="945"/>
      <c r="QD49" s="945"/>
      <c r="QE49" s="945"/>
      <c r="QF49" s="945"/>
      <c r="QG49" s="945"/>
      <c r="QH49" s="945"/>
      <c r="QI49" s="945"/>
      <c r="QJ49" s="945"/>
      <c r="QK49" s="945"/>
      <c r="QL49" s="945"/>
      <c r="QM49" s="945"/>
      <c r="QN49" s="945"/>
      <c r="QO49" s="945"/>
      <c r="QP49" s="945"/>
      <c r="QQ49" s="945"/>
      <c r="QR49" s="945"/>
      <c r="QS49" s="945"/>
      <c r="QT49" s="945"/>
      <c r="QU49" s="945"/>
      <c r="QV49" s="945"/>
      <c r="QW49" s="945"/>
      <c r="QX49" s="945"/>
      <c r="QY49" s="945"/>
      <c r="QZ49" s="945"/>
      <c r="RA49" s="945"/>
      <c r="RB49" s="945"/>
      <c r="RC49" s="945"/>
      <c r="RD49" s="945"/>
      <c r="RE49" s="945"/>
      <c r="RF49" s="945"/>
      <c r="RG49" s="945"/>
      <c r="RH49" s="945"/>
      <c r="RI49" s="945"/>
      <c r="RJ49" s="945"/>
      <c r="RK49" s="945"/>
      <c r="RL49" s="945"/>
      <c r="RM49" s="945"/>
      <c r="RN49" s="945"/>
      <c r="RO49" s="945"/>
      <c r="RP49" s="945"/>
      <c r="RQ49" s="945"/>
      <c r="RR49" s="945"/>
      <c r="RS49" s="945"/>
      <c r="RT49" s="945"/>
      <c r="RU49" s="945"/>
      <c r="RV49" s="945"/>
      <c r="RW49" s="945"/>
      <c r="RX49" s="945"/>
    </row>
    <row r="50" spans="1:492" s="165" customFormat="1">
      <c r="A50" s="945"/>
      <c r="B50" s="945"/>
      <c r="C50" s="945"/>
      <c r="D50" s="945"/>
      <c r="E50" s="945"/>
      <c r="F50" s="945"/>
      <c r="G50" s="945"/>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8"/>
      <c r="AN50" s="948"/>
      <c r="AO50" s="948"/>
      <c r="AP50" s="948"/>
      <c r="AQ50" s="948"/>
      <c r="AR50" s="948"/>
      <c r="AS50" s="948"/>
      <c r="AT50" s="948"/>
      <c r="AU50" s="948"/>
      <c r="AV50" s="948"/>
      <c r="AW50" s="948"/>
      <c r="AX50" s="948"/>
      <c r="AY50" s="948"/>
      <c r="AZ50" s="948"/>
      <c r="BA50" s="948"/>
      <c r="BB50" s="948"/>
      <c r="BC50" s="948"/>
      <c r="BD50" s="948"/>
      <c r="BE50" s="948"/>
      <c r="BF50" s="948"/>
      <c r="BG50" s="948"/>
      <c r="BH50" s="948"/>
      <c r="BI50" s="948"/>
      <c r="BJ50" s="948"/>
      <c r="BK50" s="948"/>
      <c r="BL50" s="948"/>
      <c r="BM50" s="948"/>
      <c r="BN50" s="948"/>
      <c r="BO50" s="948"/>
      <c r="BP50" s="948"/>
      <c r="BQ50" s="948"/>
      <c r="BR50" s="948"/>
      <c r="BS50" s="948"/>
      <c r="BT50" s="948"/>
      <c r="BU50" s="948"/>
      <c r="BV50" s="948"/>
      <c r="BW50" s="948"/>
      <c r="BX50" s="948"/>
      <c r="BY50" s="948"/>
      <c r="BZ50" s="948"/>
      <c r="CA50" s="945"/>
      <c r="CB50" s="945"/>
      <c r="CC50" s="945"/>
      <c r="CD50" s="945"/>
      <c r="CE50" s="945"/>
      <c r="CF50" s="945"/>
      <c r="CG50" s="945"/>
      <c r="CH50" s="945"/>
      <c r="CI50" s="945"/>
      <c r="CJ50" s="945"/>
      <c r="CK50" s="945"/>
      <c r="CL50" s="945"/>
      <c r="CM50" s="945"/>
      <c r="CN50" s="945"/>
      <c r="CO50" s="945"/>
      <c r="CP50" s="945"/>
      <c r="CQ50" s="945"/>
      <c r="CR50" s="945"/>
      <c r="CS50" s="945"/>
      <c r="CT50" s="945"/>
      <c r="CU50" s="945"/>
      <c r="CV50" s="945"/>
      <c r="CW50" s="945"/>
      <c r="CX50" s="945"/>
      <c r="CY50" s="945"/>
      <c r="CZ50" s="945"/>
      <c r="DA50" s="945"/>
      <c r="DB50" s="945"/>
      <c r="DC50" s="945"/>
      <c r="DD50" s="945"/>
      <c r="DE50" s="945"/>
      <c r="DF50" s="945"/>
      <c r="DG50" s="945"/>
      <c r="DH50" s="945"/>
      <c r="DI50" s="945"/>
      <c r="DJ50" s="945"/>
      <c r="DK50" s="945"/>
      <c r="DL50" s="945"/>
      <c r="DM50" s="945"/>
      <c r="DN50" s="945"/>
      <c r="DO50" s="945"/>
      <c r="DP50" s="945"/>
      <c r="DQ50" s="945"/>
      <c r="DR50" s="945"/>
      <c r="DS50" s="945"/>
      <c r="DT50" s="945"/>
      <c r="DU50" s="945"/>
      <c r="DV50" s="945"/>
      <c r="DW50" s="945"/>
      <c r="DX50" s="945"/>
      <c r="DY50" s="945"/>
      <c r="DZ50" s="945"/>
      <c r="EA50" s="945"/>
      <c r="EB50" s="945"/>
      <c r="EC50" s="945"/>
      <c r="ED50" s="945"/>
      <c r="EE50" s="945"/>
      <c r="EF50" s="945"/>
      <c r="EG50" s="945"/>
      <c r="EH50" s="945"/>
      <c r="EI50" s="945"/>
      <c r="EJ50" s="945"/>
      <c r="EK50" s="945"/>
      <c r="EL50" s="945"/>
      <c r="EM50" s="945"/>
      <c r="EN50" s="945"/>
      <c r="EO50" s="945"/>
      <c r="EP50" s="945"/>
      <c r="EQ50" s="945"/>
      <c r="ER50" s="945"/>
      <c r="ES50" s="945"/>
      <c r="ET50" s="945"/>
      <c r="EU50" s="945"/>
      <c r="EV50" s="945"/>
      <c r="EW50" s="945"/>
      <c r="EX50" s="945"/>
      <c r="EY50" s="945"/>
      <c r="EZ50" s="945"/>
      <c r="FA50" s="945"/>
      <c r="FB50" s="945"/>
      <c r="FC50" s="945"/>
      <c r="FD50" s="945"/>
      <c r="FE50" s="945"/>
      <c r="FF50" s="945"/>
      <c r="FG50" s="945"/>
      <c r="FH50" s="945"/>
      <c r="FI50" s="945"/>
      <c r="FJ50" s="945"/>
      <c r="FK50" s="945"/>
      <c r="FL50" s="945"/>
      <c r="FM50" s="945"/>
      <c r="FN50" s="945"/>
      <c r="FO50" s="945"/>
      <c r="FP50" s="945"/>
      <c r="FQ50" s="945"/>
      <c r="FR50" s="945"/>
      <c r="FS50" s="945"/>
      <c r="FT50" s="945"/>
      <c r="FU50" s="945"/>
      <c r="FV50" s="945"/>
      <c r="FW50" s="945"/>
      <c r="FX50" s="945"/>
      <c r="FY50" s="945"/>
      <c r="FZ50" s="945"/>
      <c r="GA50" s="945"/>
      <c r="GB50" s="945"/>
      <c r="GC50" s="945"/>
      <c r="GD50" s="945"/>
      <c r="GE50" s="945"/>
      <c r="GF50" s="945"/>
      <c r="GG50" s="945"/>
      <c r="GH50" s="945"/>
      <c r="GI50" s="945"/>
      <c r="GJ50" s="945"/>
      <c r="GK50" s="945"/>
      <c r="GL50" s="945"/>
      <c r="GM50" s="945"/>
      <c r="GN50" s="945"/>
      <c r="GO50" s="945"/>
      <c r="GP50" s="945"/>
      <c r="GQ50" s="945"/>
      <c r="GR50" s="945"/>
      <c r="GS50" s="945"/>
      <c r="GT50" s="945"/>
      <c r="GU50" s="945"/>
      <c r="GV50" s="945"/>
      <c r="GW50" s="945"/>
      <c r="GX50" s="945"/>
      <c r="GY50" s="945"/>
      <c r="GZ50" s="945"/>
      <c r="HA50" s="945"/>
      <c r="HB50" s="945"/>
      <c r="HC50" s="945"/>
      <c r="HD50" s="945"/>
      <c r="HE50" s="945"/>
      <c r="HF50" s="945"/>
      <c r="HG50" s="945"/>
      <c r="HH50" s="945"/>
      <c r="HI50" s="945"/>
      <c r="HJ50" s="945"/>
      <c r="HK50" s="945"/>
      <c r="HL50" s="945"/>
      <c r="HM50" s="945"/>
      <c r="HN50" s="945"/>
      <c r="HO50" s="945"/>
      <c r="HP50" s="945"/>
      <c r="HQ50" s="945"/>
      <c r="HR50" s="945"/>
      <c r="HS50" s="945"/>
      <c r="HT50" s="945"/>
      <c r="HU50" s="945"/>
      <c r="HV50" s="945"/>
      <c r="HW50" s="945"/>
      <c r="HX50" s="945"/>
      <c r="HY50" s="945"/>
      <c r="HZ50" s="945"/>
      <c r="IA50" s="945"/>
      <c r="IB50" s="945"/>
      <c r="IC50" s="945"/>
      <c r="ID50" s="945"/>
      <c r="IE50" s="945"/>
      <c r="IF50" s="945"/>
      <c r="IG50" s="945"/>
      <c r="IH50" s="945"/>
      <c r="II50" s="945"/>
      <c r="IJ50" s="945"/>
      <c r="IK50" s="945"/>
      <c r="IL50" s="945"/>
      <c r="IM50" s="945"/>
      <c r="IN50" s="945"/>
      <c r="IO50" s="945"/>
      <c r="IP50" s="945"/>
      <c r="IQ50" s="945"/>
      <c r="IR50" s="945"/>
      <c r="IS50" s="945"/>
      <c r="IT50" s="945"/>
      <c r="IU50" s="945"/>
      <c r="IV50" s="945"/>
      <c r="IW50" s="945"/>
      <c r="IX50" s="945"/>
      <c r="IY50" s="945"/>
      <c r="IZ50" s="945"/>
      <c r="JA50" s="945"/>
      <c r="JB50" s="945"/>
      <c r="JC50" s="945"/>
      <c r="JD50" s="945"/>
      <c r="JE50" s="945"/>
      <c r="JF50" s="945"/>
      <c r="JG50" s="945"/>
      <c r="JH50" s="945"/>
      <c r="JI50" s="945"/>
      <c r="JJ50" s="945"/>
      <c r="JK50" s="945"/>
      <c r="JL50" s="945"/>
      <c r="JM50" s="945"/>
      <c r="JN50" s="945"/>
      <c r="JO50" s="945"/>
      <c r="JP50" s="945"/>
      <c r="JQ50" s="945"/>
      <c r="JR50" s="945"/>
      <c r="JS50" s="945"/>
      <c r="JT50" s="945"/>
      <c r="JU50" s="945"/>
      <c r="JV50" s="945"/>
      <c r="JW50" s="945"/>
      <c r="JX50" s="945"/>
      <c r="JY50" s="945"/>
      <c r="JZ50" s="945"/>
      <c r="KA50" s="945"/>
      <c r="KB50" s="945"/>
      <c r="KC50" s="945"/>
      <c r="KD50" s="945"/>
      <c r="KE50" s="945"/>
      <c r="KF50" s="945"/>
      <c r="KG50" s="945"/>
      <c r="KH50" s="945"/>
      <c r="KI50" s="945"/>
      <c r="KJ50" s="945"/>
      <c r="KK50" s="945"/>
      <c r="KL50" s="945"/>
      <c r="KM50" s="945"/>
      <c r="KN50" s="945"/>
      <c r="KO50" s="945"/>
      <c r="KP50" s="945"/>
      <c r="KQ50" s="945"/>
      <c r="KR50" s="945"/>
      <c r="KS50" s="945"/>
      <c r="KT50" s="945"/>
      <c r="KU50" s="945"/>
      <c r="KV50" s="945"/>
      <c r="KW50" s="945"/>
      <c r="KX50" s="945"/>
      <c r="KY50" s="945"/>
      <c r="KZ50" s="945"/>
      <c r="LA50" s="945"/>
      <c r="LB50" s="945"/>
      <c r="LC50" s="945"/>
      <c r="LD50" s="945"/>
      <c r="LE50" s="945"/>
      <c r="LF50" s="945"/>
      <c r="LG50" s="945"/>
      <c r="LH50" s="945"/>
      <c r="LI50" s="945"/>
      <c r="LJ50" s="945"/>
      <c r="LK50" s="945"/>
      <c r="LL50" s="945"/>
      <c r="LM50" s="945"/>
      <c r="LN50" s="945"/>
      <c r="LO50" s="945"/>
      <c r="LP50" s="945"/>
      <c r="LQ50" s="945"/>
      <c r="LR50" s="945"/>
      <c r="LS50" s="945"/>
      <c r="LT50" s="945"/>
      <c r="LU50" s="945"/>
      <c r="LV50" s="945"/>
      <c r="LW50" s="945"/>
      <c r="LX50" s="945"/>
      <c r="LY50" s="945"/>
      <c r="LZ50" s="945"/>
      <c r="MA50" s="945"/>
      <c r="MB50" s="945"/>
      <c r="MC50" s="945"/>
      <c r="MD50" s="945"/>
      <c r="ME50" s="945"/>
      <c r="MF50" s="945"/>
      <c r="MG50" s="945"/>
      <c r="MH50" s="945"/>
      <c r="MI50" s="945"/>
      <c r="MJ50" s="945"/>
      <c r="MK50" s="945"/>
      <c r="ML50" s="945"/>
      <c r="MM50" s="945"/>
      <c r="MN50" s="945"/>
      <c r="MO50" s="945"/>
      <c r="MP50" s="945"/>
      <c r="MQ50" s="945"/>
      <c r="MR50" s="945"/>
      <c r="MS50" s="945"/>
      <c r="MT50" s="945"/>
      <c r="MU50" s="945"/>
      <c r="MV50" s="945"/>
      <c r="MW50" s="945"/>
      <c r="MX50" s="945"/>
      <c r="MY50" s="945"/>
      <c r="MZ50" s="945"/>
      <c r="NA50" s="945"/>
      <c r="NB50" s="945"/>
      <c r="NC50" s="945"/>
      <c r="ND50" s="945"/>
      <c r="NE50" s="945"/>
      <c r="NF50" s="945"/>
      <c r="NG50" s="945"/>
      <c r="NH50" s="945"/>
      <c r="NI50" s="945"/>
      <c r="NJ50" s="945"/>
      <c r="NK50" s="945"/>
      <c r="NL50" s="945"/>
      <c r="NM50" s="945"/>
      <c r="NN50" s="945"/>
      <c r="NO50" s="945"/>
      <c r="NP50" s="945"/>
      <c r="NQ50" s="945"/>
      <c r="NR50" s="945"/>
      <c r="NS50" s="945"/>
      <c r="NT50" s="945"/>
      <c r="NU50" s="945"/>
      <c r="NV50" s="945"/>
      <c r="NW50" s="945"/>
      <c r="NX50" s="945"/>
      <c r="NY50" s="945"/>
      <c r="NZ50" s="945"/>
      <c r="OA50" s="945"/>
      <c r="OB50" s="945"/>
      <c r="OC50" s="945"/>
      <c r="OD50" s="945"/>
      <c r="OE50" s="945"/>
      <c r="OF50" s="945"/>
      <c r="OG50" s="945"/>
      <c r="OH50" s="945"/>
      <c r="OI50" s="945"/>
      <c r="OJ50" s="945"/>
      <c r="OK50" s="945"/>
      <c r="OL50" s="945"/>
      <c r="OM50" s="945"/>
      <c r="ON50" s="945"/>
      <c r="OO50" s="945"/>
      <c r="OP50" s="945"/>
      <c r="OQ50" s="945"/>
      <c r="OR50" s="945"/>
      <c r="OS50" s="945"/>
      <c r="OT50" s="945"/>
      <c r="OU50" s="945"/>
      <c r="OV50" s="945"/>
      <c r="OW50" s="945"/>
      <c r="OX50" s="945"/>
      <c r="OY50" s="945"/>
      <c r="OZ50" s="945"/>
      <c r="PA50" s="945"/>
      <c r="PB50" s="945"/>
      <c r="PC50" s="945"/>
      <c r="PD50" s="945"/>
      <c r="PE50" s="945"/>
      <c r="PF50" s="945"/>
      <c r="PG50" s="945"/>
      <c r="PH50" s="945"/>
      <c r="PI50" s="945"/>
      <c r="PJ50" s="945"/>
      <c r="PK50" s="945"/>
      <c r="PL50" s="945"/>
      <c r="PM50" s="945"/>
      <c r="PN50" s="945"/>
      <c r="PO50" s="945"/>
      <c r="PP50" s="945"/>
      <c r="PQ50" s="945"/>
      <c r="PR50" s="945"/>
      <c r="PS50" s="945"/>
      <c r="PT50" s="945"/>
      <c r="PU50" s="945"/>
      <c r="PV50" s="945"/>
      <c r="PW50" s="945"/>
      <c r="PX50" s="945"/>
      <c r="PY50" s="945"/>
      <c r="PZ50" s="945"/>
      <c r="QA50" s="945"/>
      <c r="QB50" s="945"/>
      <c r="QC50" s="945"/>
      <c r="QD50" s="945"/>
      <c r="QE50" s="945"/>
      <c r="QF50" s="945"/>
      <c r="QG50" s="945"/>
      <c r="QH50" s="945"/>
      <c r="QI50" s="945"/>
      <c r="QJ50" s="945"/>
      <c r="QK50" s="945"/>
      <c r="QL50" s="945"/>
      <c r="QM50" s="945"/>
      <c r="QN50" s="945"/>
      <c r="QO50" s="945"/>
      <c r="QP50" s="945"/>
      <c r="QQ50" s="945"/>
      <c r="QR50" s="945"/>
      <c r="QS50" s="945"/>
      <c r="QT50" s="945"/>
      <c r="QU50" s="945"/>
      <c r="QV50" s="945"/>
      <c r="QW50" s="945"/>
      <c r="QX50" s="945"/>
      <c r="QY50" s="945"/>
      <c r="QZ50" s="945"/>
      <c r="RA50" s="945"/>
      <c r="RB50" s="945"/>
      <c r="RC50" s="945"/>
      <c r="RD50" s="945"/>
      <c r="RE50" s="945"/>
      <c r="RF50" s="945"/>
      <c r="RG50" s="945"/>
      <c r="RH50" s="945"/>
      <c r="RI50" s="945"/>
      <c r="RJ50" s="945"/>
      <c r="RK50" s="945"/>
      <c r="RL50" s="945"/>
      <c r="RM50" s="945"/>
      <c r="RN50" s="945"/>
      <c r="RO50" s="945"/>
      <c r="RP50" s="945"/>
      <c r="RQ50" s="945"/>
      <c r="RR50" s="945"/>
      <c r="RS50" s="945"/>
      <c r="RT50" s="945"/>
      <c r="RU50" s="945"/>
      <c r="RV50" s="945"/>
      <c r="RW50" s="945"/>
      <c r="RX50" s="945"/>
    </row>
    <row r="51" spans="1:492" s="165" customFormat="1">
      <c r="A51" s="945"/>
      <c r="B51" s="945"/>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c r="AD51" s="945"/>
      <c r="AE51" s="945"/>
      <c r="AF51" s="945"/>
      <c r="AG51" s="945"/>
      <c r="AH51" s="945"/>
      <c r="AI51" s="945"/>
      <c r="AJ51" s="945"/>
      <c r="AK51" s="945"/>
      <c r="AL51" s="945"/>
      <c r="AM51" s="948"/>
      <c r="AN51" s="948"/>
      <c r="AO51" s="948"/>
      <c r="AP51" s="948"/>
      <c r="AQ51" s="948"/>
      <c r="AR51" s="948"/>
      <c r="AS51" s="948"/>
      <c r="AT51" s="948"/>
      <c r="AU51" s="948"/>
      <c r="AV51" s="948"/>
      <c r="AW51" s="951"/>
      <c r="AX51" s="951"/>
      <c r="AY51" s="951"/>
      <c r="AZ51" s="951"/>
      <c r="BA51" s="948"/>
      <c r="BB51" s="948"/>
      <c r="BC51" s="948"/>
      <c r="BD51" s="948"/>
      <c r="BE51" s="948"/>
      <c r="BF51" s="948"/>
      <c r="BG51" s="948"/>
      <c r="BH51" s="948"/>
      <c r="BI51" s="948"/>
      <c r="BJ51" s="948"/>
      <c r="BK51" s="948"/>
      <c r="BL51" s="948"/>
      <c r="BM51" s="948"/>
      <c r="BN51" s="948"/>
      <c r="BO51" s="948"/>
      <c r="BP51" s="948"/>
      <c r="BQ51" s="948"/>
      <c r="BR51" s="948"/>
      <c r="BS51" s="948"/>
      <c r="BT51" s="948"/>
      <c r="BU51" s="948"/>
      <c r="BV51" s="948"/>
      <c r="BW51" s="948"/>
      <c r="BX51" s="948"/>
      <c r="BY51" s="948"/>
      <c r="BZ51" s="948"/>
      <c r="CA51" s="945"/>
      <c r="CB51" s="945"/>
      <c r="CC51" s="945"/>
      <c r="CD51" s="945"/>
      <c r="CE51" s="945"/>
      <c r="CF51" s="945"/>
      <c r="CG51" s="945"/>
      <c r="CH51" s="945"/>
      <c r="CI51" s="945"/>
      <c r="CJ51" s="945"/>
      <c r="CK51" s="945"/>
      <c r="CL51" s="945"/>
      <c r="CM51" s="945"/>
      <c r="CN51" s="945"/>
      <c r="CO51" s="945"/>
      <c r="CP51" s="945"/>
      <c r="CQ51" s="945"/>
      <c r="CR51" s="945"/>
      <c r="CS51" s="945"/>
      <c r="CT51" s="945"/>
      <c r="CU51" s="945"/>
      <c r="CV51" s="945"/>
      <c r="CW51" s="945"/>
      <c r="CX51" s="945"/>
      <c r="CY51" s="945"/>
      <c r="CZ51" s="945"/>
      <c r="DA51" s="945"/>
      <c r="DB51" s="945"/>
      <c r="DC51" s="945"/>
      <c r="DD51" s="945"/>
      <c r="DE51" s="945"/>
      <c r="DF51" s="945"/>
      <c r="DG51" s="945"/>
      <c r="DH51" s="945"/>
      <c r="DI51" s="945"/>
      <c r="DJ51" s="945"/>
      <c r="DK51" s="945"/>
      <c r="DL51" s="945"/>
      <c r="DM51" s="945"/>
      <c r="DN51" s="945"/>
      <c r="DO51" s="945"/>
      <c r="DP51" s="945"/>
      <c r="DQ51" s="945"/>
      <c r="DR51" s="945"/>
      <c r="DS51" s="945"/>
      <c r="DT51" s="945"/>
      <c r="DU51" s="945"/>
      <c r="DV51" s="945"/>
      <c r="DW51" s="945"/>
      <c r="DX51" s="945"/>
      <c r="DY51" s="945"/>
      <c r="DZ51" s="945"/>
      <c r="EA51" s="945"/>
      <c r="EB51" s="945"/>
      <c r="EC51" s="945"/>
      <c r="ED51" s="945"/>
      <c r="EE51" s="945"/>
      <c r="EF51" s="945"/>
      <c r="EG51" s="945"/>
      <c r="EH51" s="945"/>
      <c r="EI51" s="945"/>
      <c r="EJ51" s="945"/>
      <c r="EK51" s="945"/>
      <c r="EL51" s="945"/>
      <c r="EM51" s="945"/>
      <c r="EN51" s="945"/>
      <c r="EO51" s="945"/>
      <c r="EP51" s="945"/>
      <c r="EQ51" s="945"/>
      <c r="ER51" s="945"/>
      <c r="ES51" s="945"/>
      <c r="ET51" s="945"/>
      <c r="EU51" s="945"/>
      <c r="EV51" s="945"/>
      <c r="EW51" s="945"/>
      <c r="EX51" s="945"/>
      <c r="EY51" s="945"/>
      <c r="EZ51" s="945"/>
      <c r="FA51" s="945"/>
      <c r="FB51" s="945"/>
      <c r="FC51" s="945"/>
      <c r="FD51" s="945"/>
      <c r="FE51" s="945"/>
      <c r="FF51" s="945"/>
      <c r="FG51" s="945"/>
      <c r="FH51" s="945"/>
      <c r="FI51" s="945"/>
      <c r="FJ51" s="945"/>
      <c r="FK51" s="945"/>
      <c r="FL51" s="945"/>
      <c r="FM51" s="945"/>
      <c r="FN51" s="945"/>
      <c r="FO51" s="945"/>
      <c r="FP51" s="945"/>
      <c r="FQ51" s="945"/>
      <c r="FR51" s="945"/>
      <c r="FS51" s="945"/>
      <c r="FT51" s="945"/>
      <c r="FU51" s="945"/>
      <c r="FV51" s="945"/>
      <c r="FW51" s="945"/>
      <c r="FX51" s="945"/>
      <c r="FY51" s="945"/>
      <c r="FZ51" s="945"/>
      <c r="GA51" s="945"/>
      <c r="GB51" s="945"/>
      <c r="GC51" s="945"/>
      <c r="GD51" s="945"/>
      <c r="GE51" s="945"/>
      <c r="GF51" s="945"/>
      <c r="GG51" s="945"/>
      <c r="GH51" s="945"/>
      <c r="GI51" s="945"/>
      <c r="GJ51" s="945"/>
      <c r="GK51" s="945"/>
      <c r="GL51" s="945"/>
      <c r="GM51" s="945"/>
      <c r="GN51" s="945"/>
      <c r="GO51" s="945"/>
      <c r="GP51" s="945"/>
      <c r="GQ51" s="945"/>
      <c r="GR51" s="945"/>
      <c r="GS51" s="945"/>
      <c r="GT51" s="945"/>
      <c r="GU51" s="945"/>
      <c r="GV51" s="945"/>
      <c r="GW51" s="945"/>
      <c r="GX51" s="945"/>
      <c r="GY51" s="945"/>
      <c r="GZ51" s="945"/>
      <c r="HA51" s="945"/>
      <c r="HB51" s="945"/>
      <c r="HC51" s="945"/>
      <c r="HD51" s="945"/>
      <c r="HE51" s="945"/>
      <c r="HF51" s="945"/>
      <c r="HG51" s="945"/>
      <c r="HH51" s="945"/>
      <c r="HI51" s="945"/>
      <c r="HJ51" s="945"/>
      <c r="HK51" s="945"/>
      <c r="HL51" s="945"/>
      <c r="HM51" s="945"/>
      <c r="HN51" s="945"/>
      <c r="HO51" s="945"/>
      <c r="HP51" s="945"/>
      <c r="HQ51" s="945"/>
      <c r="HR51" s="945"/>
      <c r="HS51" s="945"/>
      <c r="HT51" s="945"/>
      <c r="HU51" s="945"/>
      <c r="HV51" s="945"/>
      <c r="HW51" s="945"/>
      <c r="HX51" s="945"/>
      <c r="HY51" s="945"/>
      <c r="HZ51" s="945"/>
      <c r="IA51" s="945"/>
      <c r="IB51" s="945"/>
      <c r="IC51" s="945"/>
      <c r="ID51" s="945"/>
      <c r="IE51" s="945"/>
      <c r="IF51" s="945"/>
      <c r="IG51" s="945"/>
      <c r="IH51" s="945"/>
      <c r="II51" s="945"/>
      <c r="IJ51" s="945"/>
      <c r="IK51" s="945"/>
      <c r="IL51" s="945"/>
      <c r="IM51" s="945"/>
      <c r="IN51" s="945"/>
      <c r="IO51" s="945"/>
      <c r="IP51" s="945"/>
      <c r="IQ51" s="945"/>
      <c r="IR51" s="945"/>
      <c r="IS51" s="945"/>
      <c r="IT51" s="945"/>
      <c r="IU51" s="945"/>
      <c r="IV51" s="945"/>
      <c r="IW51" s="945"/>
      <c r="IX51" s="945"/>
      <c r="IY51" s="945"/>
      <c r="IZ51" s="945"/>
      <c r="JA51" s="945"/>
      <c r="JB51" s="945"/>
      <c r="JC51" s="945"/>
      <c r="JD51" s="945"/>
      <c r="JE51" s="945"/>
      <c r="JF51" s="945"/>
      <c r="JG51" s="945"/>
      <c r="JH51" s="945"/>
      <c r="JI51" s="945"/>
      <c r="JJ51" s="945"/>
      <c r="JK51" s="945"/>
      <c r="JL51" s="945"/>
      <c r="JM51" s="945"/>
      <c r="JN51" s="945"/>
      <c r="JO51" s="945"/>
      <c r="JP51" s="945"/>
      <c r="JQ51" s="945"/>
      <c r="JR51" s="945"/>
      <c r="JS51" s="945"/>
      <c r="JT51" s="945"/>
      <c r="JU51" s="945"/>
      <c r="JV51" s="945"/>
      <c r="JW51" s="945"/>
      <c r="JX51" s="945"/>
      <c r="JY51" s="945"/>
      <c r="JZ51" s="945"/>
      <c r="KA51" s="945"/>
      <c r="KB51" s="945"/>
      <c r="KC51" s="945"/>
      <c r="KD51" s="945"/>
      <c r="KE51" s="945"/>
      <c r="KF51" s="945"/>
      <c r="KG51" s="945"/>
      <c r="KH51" s="945"/>
      <c r="KI51" s="945"/>
      <c r="KJ51" s="945"/>
      <c r="KK51" s="945"/>
      <c r="KL51" s="945"/>
      <c r="KM51" s="945"/>
      <c r="KN51" s="945"/>
      <c r="KO51" s="945"/>
      <c r="KP51" s="945"/>
      <c r="KQ51" s="945"/>
      <c r="KR51" s="945"/>
      <c r="KS51" s="945"/>
      <c r="KT51" s="945"/>
      <c r="KU51" s="945"/>
      <c r="KV51" s="945"/>
      <c r="KW51" s="945"/>
      <c r="KX51" s="945"/>
      <c r="KY51" s="945"/>
      <c r="KZ51" s="945"/>
      <c r="LA51" s="945"/>
      <c r="LB51" s="945"/>
      <c r="LC51" s="945"/>
      <c r="LD51" s="945"/>
      <c r="LE51" s="945"/>
      <c r="LF51" s="945"/>
      <c r="LG51" s="945"/>
      <c r="LH51" s="945"/>
      <c r="LI51" s="945"/>
      <c r="LJ51" s="945"/>
      <c r="LK51" s="945"/>
      <c r="LL51" s="945"/>
      <c r="LM51" s="945"/>
      <c r="LN51" s="945"/>
      <c r="LO51" s="945"/>
      <c r="LP51" s="945"/>
      <c r="LQ51" s="945"/>
      <c r="LR51" s="945"/>
      <c r="LS51" s="945"/>
      <c r="LT51" s="945"/>
      <c r="LU51" s="945"/>
      <c r="LV51" s="945"/>
      <c r="LW51" s="945"/>
      <c r="LX51" s="945"/>
      <c r="LY51" s="945"/>
      <c r="LZ51" s="945"/>
      <c r="MA51" s="945"/>
      <c r="MB51" s="945"/>
      <c r="MC51" s="945"/>
      <c r="MD51" s="945"/>
      <c r="ME51" s="945"/>
      <c r="MF51" s="945"/>
      <c r="MG51" s="945"/>
      <c r="MH51" s="945"/>
      <c r="MI51" s="945"/>
      <c r="MJ51" s="945"/>
      <c r="MK51" s="945"/>
      <c r="ML51" s="945"/>
      <c r="MM51" s="945"/>
      <c r="MN51" s="945"/>
      <c r="MO51" s="945"/>
      <c r="MP51" s="945"/>
      <c r="MQ51" s="945"/>
      <c r="MR51" s="945"/>
      <c r="MS51" s="945"/>
      <c r="MT51" s="945"/>
      <c r="MU51" s="945"/>
      <c r="MV51" s="945"/>
      <c r="MW51" s="945"/>
      <c r="MX51" s="945"/>
      <c r="MY51" s="945"/>
      <c r="MZ51" s="945"/>
      <c r="NA51" s="945"/>
      <c r="NB51" s="945"/>
      <c r="NC51" s="945"/>
      <c r="ND51" s="945"/>
      <c r="NE51" s="945"/>
      <c r="NF51" s="945"/>
      <c r="NG51" s="945"/>
      <c r="NH51" s="945"/>
      <c r="NI51" s="945"/>
      <c r="NJ51" s="945"/>
      <c r="NK51" s="945"/>
      <c r="NL51" s="945"/>
      <c r="NM51" s="945"/>
      <c r="NN51" s="945"/>
      <c r="NO51" s="945"/>
      <c r="NP51" s="945"/>
      <c r="NQ51" s="945"/>
      <c r="NR51" s="945"/>
      <c r="NS51" s="945"/>
      <c r="NT51" s="945"/>
      <c r="NU51" s="945"/>
      <c r="NV51" s="945"/>
      <c r="NW51" s="945"/>
      <c r="NX51" s="945"/>
      <c r="NY51" s="945"/>
      <c r="NZ51" s="945"/>
      <c r="OA51" s="945"/>
      <c r="OB51" s="945"/>
      <c r="OC51" s="945"/>
      <c r="OD51" s="945"/>
      <c r="OE51" s="945"/>
      <c r="OF51" s="945"/>
      <c r="OG51" s="945"/>
      <c r="OH51" s="945"/>
      <c r="OI51" s="945"/>
      <c r="OJ51" s="945"/>
      <c r="OK51" s="945"/>
      <c r="OL51" s="945"/>
      <c r="OM51" s="945"/>
      <c r="ON51" s="945"/>
      <c r="OO51" s="945"/>
      <c r="OP51" s="945"/>
      <c r="OQ51" s="945"/>
      <c r="OR51" s="945"/>
      <c r="OS51" s="945"/>
      <c r="OT51" s="945"/>
      <c r="OU51" s="945"/>
      <c r="OV51" s="945"/>
      <c r="OW51" s="945"/>
      <c r="OX51" s="945"/>
      <c r="OY51" s="945"/>
      <c r="OZ51" s="945"/>
      <c r="PA51" s="945"/>
      <c r="PB51" s="945"/>
      <c r="PC51" s="945"/>
      <c r="PD51" s="945"/>
      <c r="PE51" s="945"/>
      <c r="PF51" s="945"/>
      <c r="PG51" s="945"/>
      <c r="PH51" s="945"/>
      <c r="PI51" s="945"/>
      <c r="PJ51" s="945"/>
      <c r="PK51" s="945"/>
      <c r="PL51" s="945"/>
      <c r="PM51" s="945"/>
      <c r="PN51" s="945"/>
      <c r="PO51" s="945"/>
      <c r="PP51" s="945"/>
      <c r="PQ51" s="945"/>
      <c r="PR51" s="945"/>
      <c r="PS51" s="945"/>
      <c r="PT51" s="945"/>
      <c r="PU51" s="945"/>
      <c r="PV51" s="945"/>
      <c r="PW51" s="945"/>
      <c r="PX51" s="945"/>
      <c r="PY51" s="945"/>
      <c r="PZ51" s="945"/>
      <c r="QA51" s="945"/>
      <c r="QB51" s="945"/>
      <c r="QC51" s="945"/>
      <c r="QD51" s="945"/>
      <c r="QE51" s="945"/>
      <c r="QF51" s="945"/>
      <c r="QG51" s="945"/>
      <c r="QH51" s="945"/>
      <c r="QI51" s="945"/>
      <c r="QJ51" s="945"/>
      <c r="QK51" s="945"/>
      <c r="QL51" s="945"/>
      <c r="QM51" s="945"/>
      <c r="QN51" s="945"/>
      <c r="QO51" s="945"/>
      <c r="QP51" s="945"/>
      <c r="QQ51" s="945"/>
      <c r="QR51" s="945"/>
      <c r="QS51" s="945"/>
      <c r="QT51" s="945"/>
      <c r="QU51" s="945"/>
      <c r="QV51" s="945"/>
      <c r="QW51" s="945"/>
      <c r="QX51" s="945"/>
      <c r="QY51" s="945"/>
      <c r="QZ51" s="945"/>
      <c r="RA51" s="945"/>
      <c r="RB51" s="945"/>
      <c r="RC51" s="945"/>
      <c r="RD51" s="945"/>
      <c r="RE51" s="945"/>
      <c r="RF51" s="945"/>
      <c r="RG51" s="945"/>
      <c r="RH51" s="945"/>
      <c r="RI51" s="945"/>
      <c r="RJ51" s="945"/>
      <c r="RK51" s="945"/>
      <c r="RL51" s="945"/>
      <c r="RM51" s="945"/>
      <c r="RN51" s="945"/>
      <c r="RO51" s="945"/>
      <c r="RP51" s="945"/>
      <c r="RQ51" s="945"/>
      <c r="RR51" s="945"/>
      <c r="RS51" s="945"/>
      <c r="RT51" s="945"/>
      <c r="RU51" s="945"/>
      <c r="RV51" s="945"/>
      <c r="RW51" s="945"/>
      <c r="RX51" s="945"/>
    </row>
    <row r="52" spans="1:492" s="165" customFormat="1">
      <c r="A52" s="945"/>
      <c r="B52" s="945"/>
      <c r="C52" s="945"/>
      <c r="D52" s="945"/>
      <c r="E52" s="945"/>
      <c r="F52" s="945"/>
      <c r="G52" s="945"/>
      <c r="H52" s="945"/>
      <c r="I52" s="945"/>
      <c r="J52" s="945"/>
      <c r="K52" s="945"/>
      <c r="L52" s="945"/>
      <c r="M52" s="945"/>
      <c r="N52" s="945"/>
      <c r="O52" s="945"/>
      <c r="P52" s="945"/>
      <c r="Q52" s="945"/>
      <c r="R52" s="945"/>
      <c r="S52" s="945"/>
      <c r="T52" s="945"/>
      <c r="U52" s="945"/>
      <c r="V52" s="945"/>
      <c r="W52" s="945"/>
      <c r="X52" s="945"/>
      <c r="Y52" s="945"/>
      <c r="Z52" s="945"/>
      <c r="AA52" s="945"/>
      <c r="AB52" s="945"/>
      <c r="AC52" s="945"/>
      <c r="AD52" s="945"/>
      <c r="AE52" s="945"/>
      <c r="AF52" s="945"/>
      <c r="AG52" s="945"/>
      <c r="AH52" s="945"/>
      <c r="AI52" s="945"/>
      <c r="AJ52" s="945"/>
      <c r="AK52" s="945"/>
      <c r="AL52" s="945"/>
      <c r="AM52" s="948"/>
      <c r="AN52" s="948"/>
      <c r="AO52" s="948"/>
      <c r="AP52" s="948"/>
      <c r="AQ52" s="948"/>
      <c r="AR52" s="948"/>
      <c r="AS52" s="948"/>
      <c r="AT52" s="948"/>
      <c r="AU52" s="948"/>
      <c r="AV52" s="948"/>
      <c r="AW52" s="951"/>
      <c r="AX52" s="951"/>
      <c r="AY52" s="951"/>
      <c r="AZ52" s="951"/>
      <c r="BA52" s="948"/>
      <c r="BB52" s="948"/>
      <c r="BC52" s="948"/>
      <c r="BD52" s="948"/>
      <c r="BE52" s="948"/>
      <c r="BF52" s="948"/>
      <c r="BG52" s="948"/>
      <c r="BH52" s="948"/>
      <c r="BI52" s="948"/>
      <c r="BJ52" s="948"/>
      <c r="BK52" s="948"/>
      <c r="BL52" s="948"/>
      <c r="BM52" s="948"/>
      <c r="BN52" s="948"/>
      <c r="BO52" s="948"/>
      <c r="BP52" s="948"/>
      <c r="BQ52" s="948"/>
      <c r="BR52" s="948"/>
      <c r="BS52" s="948"/>
      <c r="BT52" s="948"/>
      <c r="BU52" s="948"/>
      <c r="BV52" s="948"/>
      <c r="BW52" s="948"/>
      <c r="BX52" s="948"/>
      <c r="BY52" s="948"/>
      <c r="BZ52" s="948"/>
      <c r="CA52" s="945"/>
      <c r="CB52" s="945"/>
      <c r="CC52" s="945"/>
      <c r="CD52" s="945"/>
      <c r="CE52" s="945"/>
      <c r="CF52" s="945"/>
      <c r="CG52" s="945"/>
      <c r="CH52" s="945"/>
      <c r="CI52" s="945"/>
      <c r="CJ52" s="945"/>
      <c r="CK52" s="945"/>
      <c r="CL52" s="945"/>
      <c r="CM52" s="945"/>
      <c r="CN52" s="945"/>
      <c r="CO52" s="945"/>
      <c r="CP52" s="945"/>
      <c r="CQ52" s="945"/>
      <c r="CR52" s="945"/>
      <c r="CS52" s="945"/>
      <c r="CT52" s="945"/>
      <c r="CU52" s="945"/>
      <c r="CV52" s="945"/>
      <c r="CW52" s="945"/>
      <c r="CX52" s="945"/>
      <c r="CY52" s="945"/>
      <c r="CZ52" s="945"/>
      <c r="DA52" s="945"/>
      <c r="DB52" s="945"/>
      <c r="DC52" s="945"/>
      <c r="DD52" s="945"/>
      <c r="DE52" s="945"/>
      <c r="DF52" s="945"/>
      <c r="DG52" s="945"/>
      <c r="DH52" s="945"/>
      <c r="DI52" s="945"/>
      <c r="DJ52" s="945"/>
      <c r="DK52" s="945"/>
      <c r="DL52" s="945"/>
      <c r="DM52" s="945"/>
      <c r="DN52" s="945"/>
      <c r="DO52" s="945"/>
      <c r="DP52" s="945"/>
      <c r="DQ52" s="945"/>
      <c r="DR52" s="945"/>
      <c r="DS52" s="945"/>
      <c r="DT52" s="945"/>
      <c r="DU52" s="945"/>
      <c r="DV52" s="945"/>
      <c r="DW52" s="945"/>
      <c r="DX52" s="945"/>
      <c r="DY52" s="945"/>
      <c r="DZ52" s="945"/>
      <c r="EA52" s="945"/>
      <c r="EB52" s="945"/>
      <c r="EC52" s="945"/>
      <c r="ED52" s="945"/>
      <c r="EE52" s="945"/>
      <c r="EF52" s="945"/>
      <c r="EG52" s="945"/>
      <c r="EH52" s="945"/>
      <c r="EI52" s="945"/>
      <c r="EJ52" s="945"/>
      <c r="EK52" s="945"/>
      <c r="EL52" s="945"/>
      <c r="EM52" s="945"/>
      <c r="EN52" s="945"/>
      <c r="EO52" s="945"/>
      <c r="EP52" s="945"/>
      <c r="EQ52" s="945"/>
      <c r="ER52" s="945"/>
      <c r="ES52" s="945"/>
      <c r="ET52" s="945"/>
      <c r="EU52" s="945"/>
      <c r="EV52" s="945"/>
      <c r="EW52" s="945"/>
      <c r="EX52" s="945"/>
      <c r="EY52" s="945"/>
      <c r="EZ52" s="945"/>
      <c r="FA52" s="945"/>
      <c r="FB52" s="945"/>
      <c r="FC52" s="945"/>
      <c r="FD52" s="945"/>
      <c r="FE52" s="945"/>
      <c r="FF52" s="945"/>
      <c r="FG52" s="945"/>
      <c r="FH52" s="945"/>
      <c r="FI52" s="945"/>
      <c r="FJ52" s="945"/>
      <c r="FK52" s="945"/>
      <c r="FL52" s="945"/>
      <c r="FM52" s="945"/>
      <c r="FN52" s="945"/>
      <c r="FO52" s="945"/>
      <c r="FP52" s="945"/>
      <c r="FQ52" s="945"/>
      <c r="FR52" s="945"/>
      <c r="FS52" s="945"/>
      <c r="FT52" s="945"/>
      <c r="FU52" s="945"/>
      <c r="FV52" s="945"/>
      <c r="FW52" s="945"/>
      <c r="FX52" s="945"/>
      <c r="FY52" s="945"/>
      <c r="FZ52" s="945"/>
      <c r="GA52" s="945"/>
      <c r="GB52" s="945"/>
      <c r="GC52" s="945"/>
      <c r="GD52" s="945"/>
      <c r="GE52" s="945"/>
      <c r="GF52" s="945"/>
      <c r="GG52" s="945"/>
      <c r="GH52" s="945"/>
      <c r="GI52" s="945"/>
      <c r="GJ52" s="945"/>
      <c r="GK52" s="945"/>
      <c r="GL52" s="945"/>
      <c r="GM52" s="945"/>
      <c r="GN52" s="945"/>
      <c r="GO52" s="945"/>
      <c r="GP52" s="945"/>
      <c r="GQ52" s="945"/>
      <c r="GR52" s="945"/>
      <c r="GS52" s="945"/>
      <c r="GT52" s="945"/>
      <c r="GU52" s="945"/>
      <c r="GV52" s="945"/>
      <c r="GW52" s="945"/>
      <c r="GX52" s="945"/>
      <c r="GY52" s="945"/>
      <c r="GZ52" s="945"/>
      <c r="HA52" s="945"/>
      <c r="HB52" s="945"/>
      <c r="HC52" s="945"/>
      <c r="HD52" s="945"/>
      <c r="HE52" s="945"/>
      <c r="HF52" s="945"/>
      <c r="HG52" s="945"/>
      <c r="HH52" s="945"/>
      <c r="HI52" s="945"/>
      <c r="HJ52" s="945"/>
      <c r="HK52" s="945"/>
      <c r="HL52" s="945"/>
      <c r="HM52" s="945"/>
      <c r="HN52" s="945"/>
      <c r="HO52" s="945"/>
      <c r="HP52" s="945"/>
      <c r="HQ52" s="945"/>
      <c r="HR52" s="945"/>
      <c r="HS52" s="945"/>
      <c r="HT52" s="945"/>
      <c r="HU52" s="945"/>
      <c r="HV52" s="945"/>
      <c r="HW52" s="945"/>
      <c r="HX52" s="945"/>
      <c r="HY52" s="945"/>
      <c r="HZ52" s="945"/>
      <c r="IA52" s="945"/>
      <c r="IB52" s="945"/>
      <c r="IC52" s="945"/>
      <c r="ID52" s="945"/>
      <c r="IE52" s="945"/>
      <c r="IF52" s="945"/>
      <c r="IG52" s="945"/>
      <c r="IH52" s="945"/>
      <c r="II52" s="945"/>
      <c r="IJ52" s="945"/>
      <c r="IK52" s="945"/>
      <c r="IL52" s="945"/>
      <c r="IM52" s="945"/>
      <c r="IN52" s="945"/>
      <c r="IO52" s="945"/>
      <c r="IP52" s="945"/>
      <c r="IQ52" s="945"/>
      <c r="IR52" s="945"/>
      <c r="IS52" s="945"/>
      <c r="IT52" s="945"/>
      <c r="IU52" s="945"/>
      <c r="IV52" s="945"/>
      <c r="IW52" s="945"/>
      <c r="IX52" s="945"/>
      <c r="IY52" s="945"/>
      <c r="IZ52" s="945"/>
      <c r="JA52" s="945"/>
      <c r="JB52" s="945"/>
      <c r="JC52" s="945"/>
      <c r="JD52" s="945"/>
      <c r="JE52" s="945"/>
      <c r="JF52" s="945"/>
      <c r="JG52" s="945"/>
      <c r="JH52" s="945"/>
      <c r="JI52" s="945"/>
      <c r="JJ52" s="945"/>
      <c r="JK52" s="945"/>
      <c r="JL52" s="945"/>
      <c r="JM52" s="945"/>
      <c r="JN52" s="945"/>
      <c r="JO52" s="945"/>
      <c r="JP52" s="945"/>
      <c r="JQ52" s="945"/>
      <c r="JR52" s="945"/>
      <c r="JS52" s="945"/>
      <c r="JT52" s="945"/>
      <c r="JU52" s="945"/>
      <c r="JV52" s="945"/>
      <c r="JW52" s="945"/>
      <c r="JX52" s="945"/>
      <c r="JY52" s="945"/>
      <c r="JZ52" s="945"/>
      <c r="KA52" s="945"/>
      <c r="KB52" s="945"/>
      <c r="KC52" s="945"/>
      <c r="KD52" s="945"/>
      <c r="KE52" s="945"/>
      <c r="KF52" s="945"/>
      <c r="KG52" s="945"/>
      <c r="KH52" s="945"/>
      <c r="KI52" s="945"/>
      <c r="KJ52" s="945"/>
      <c r="KK52" s="945"/>
      <c r="KL52" s="945"/>
      <c r="KM52" s="945"/>
      <c r="KN52" s="945"/>
      <c r="KO52" s="945"/>
      <c r="KP52" s="945"/>
      <c r="KQ52" s="945"/>
      <c r="KR52" s="945"/>
      <c r="KS52" s="945"/>
      <c r="KT52" s="945"/>
      <c r="KU52" s="945"/>
      <c r="KV52" s="945"/>
      <c r="KW52" s="945"/>
      <c r="KX52" s="945"/>
      <c r="KY52" s="945"/>
      <c r="KZ52" s="945"/>
      <c r="LA52" s="945"/>
      <c r="LB52" s="945"/>
      <c r="LC52" s="945"/>
      <c r="LD52" s="945"/>
      <c r="LE52" s="945"/>
      <c r="LF52" s="945"/>
      <c r="LG52" s="945"/>
      <c r="LH52" s="945"/>
      <c r="LI52" s="945"/>
      <c r="LJ52" s="945"/>
      <c r="LK52" s="945"/>
      <c r="LL52" s="945"/>
      <c r="LM52" s="945"/>
      <c r="LN52" s="945"/>
      <c r="LO52" s="945"/>
      <c r="LP52" s="945"/>
      <c r="LQ52" s="945"/>
      <c r="LR52" s="945"/>
      <c r="LS52" s="945"/>
      <c r="LT52" s="945"/>
      <c r="LU52" s="945"/>
      <c r="LV52" s="945"/>
      <c r="LW52" s="945"/>
      <c r="LX52" s="945"/>
      <c r="LY52" s="945"/>
      <c r="LZ52" s="945"/>
      <c r="MA52" s="945"/>
      <c r="MB52" s="945"/>
      <c r="MC52" s="945"/>
      <c r="MD52" s="945"/>
      <c r="ME52" s="945"/>
      <c r="MF52" s="945"/>
      <c r="MG52" s="945"/>
      <c r="MH52" s="945"/>
      <c r="MI52" s="945"/>
      <c r="MJ52" s="945"/>
      <c r="MK52" s="945"/>
      <c r="ML52" s="945"/>
      <c r="MM52" s="945"/>
      <c r="MN52" s="945"/>
      <c r="MO52" s="945"/>
      <c r="MP52" s="945"/>
      <c r="MQ52" s="945"/>
      <c r="MR52" s="945"/>
      <c r="MS52" s="945"/>
      <c r="MT52" s="945"/>
      <c r="MU52" s="945"/>
      <c r="MV52" s="945"/>
      <c r="MW52" s="945"/>
      <c r="MX52" s="945"/>
      <c r="MY52" s="945"/>
      <c r="MZ52" s="945"/>
      <c r="NA52" s="945"/>
      <c r="NB52" s="945"/>
      <c r="NC52" s="945"/>
      <c r="ND52" s="945"/>
      <c r="NE52" s="945"/>
      <c r="NF52" s="945"/>
      <c r="NG52" s="945"/>
      <c r="NH52" s="945"/>
      <c r="NI52" s="945"/>
      <c r="NJ52" s="945"/>
      <c r="NK52" s="945"/>
      <c r="NL52" s="945"/>
      <c r="NM52" s="945"/>
      <c r="NN52" s="945"/>
      <c r="NO52" s="945"/>
      <c r="NP52" s="945"/>
      <c r="NQ52" s="945"/>
      <c r="NR52" s="945"/>
      <c r="NS52" s="945"/>
      <c r="NT52" s="945"/>
      <c r="NU52" s="945"/>
      <c r="NV52" s="945"/>
      <c r="NW52" s="945"/>
      <c r="NX52" s="945"/>
      <c r="NY52" s="945"/>
      <c r="NZ52" s="945"/>
      <c r="OA52" s="945"/>
      <c r="OB52" s="945"/>
      <c r="OC52" s="945"/>
      <c r="OD52" s="945"/>
      <c r="OE52" s="945"/>
      <c r="OF52" s="945"/>
      <c r="OG52" s="945"/>
      <c r="OH52" s="945"/>
      <c r="OI52" s="945"/>
      <c r="OJ52" s="945"/>
      <c r="OK52" s="945"/>
      <c r="OL52" s="945"/>
      <c r="OM52" s="945"/>
      <c r="ON52" s="945"/>
      <c r="OO52" s="945"/>
      <c r="OP52" s="945"/>
      <c r="OQ52" s="945"/>
      <c r="OR52" s="945"/>
      <c r="OS52" s="945"/>
      <c r="OT52" s="945"/>
      <c r="OU52" s="945"/>
      <c r="OV52" s="945"/>
      <c r="OW52" s="945"/>
      <c r="OX52" s="945"/>
      <c r="OY52" s="945"/>
      <c r="OZ52" s="945"/>
      <c r="PA52" s="945"/>
      <c r="PB52" s="945"/>
      <c r="PC52" s="945"/>
      <c r="PD52" s="945"/>
      <c r="PE52" s="945"/>
      <c r="PF52" s="945"/>
      <c r="PG52" s="945"/>
      <c r="PH52" s="945"/>
      <c r="PI52" s="945"/>
      <c r="PJ52" s="945"/>
      <c r="PK52" s="945"/>
      <c r="PL52" s="945"/>
      <c r="PM52" s="945"/>
      <c r="PN52" s="945"/>
      <c r="PO52" s="945"/>
      <c r="PP52" s="945"/>
      <c r="PQ52" s="945"/>
      <c r="PR52" s="945"/>
      <c r="PS52" s="945"/>
      <c r="PT52" s="945"/>
      <c r="PU52" s="945"/>
      <c r="PV52" s="945"/>
      <c r="PW52" s="945"/>
      <c r="PX52" s="945"/>
      <c r="PY52" s="945"/>
      <c r="PZ52" s="945"/>
      <c r="QA52" s="945"/>
      <c r="QB52" s="945"/>
      <c r="QC52" s="945"/>
      <c r="QD52" s="945"/>
      <c r="QE52" s="945"/>
      <c r="QF52" s="945"/>
      <c r="QG52" s="945"/>
      <c r="QH52" s="945"/>
      <c r="QI52" s="945"/>
      <c r="QJ52" s="945"/>
      <c r="QK52" s="945"/>
      <c r="QL52" s="945"/>
      <c r="QM52" s="945"/>
      <c r="QN52" s="945"/>
      <c r="QO52" s="945"/>
      <c r="QP52" s="945"/>
      <c r="QQ52" s="945"/>
      <c r="QR52" s="945"/>
      <c r="QS52" s="945"/>
      <c r="QT52" s="945"/>
      <c r="QU52" s="945"/>
      <c r="QV52" s="945"/>
      <c r="QW52" s="945"/>
      <c r="QX52" s="945"/>
      <c r="QY52" s="945"/>
      <c r="QZ52" s="945"/>
      <c r="RA52" s="945"/>
      <c r="RB52" s="945"/>
      <c r="RC52" s="945"/>
      <c r="RD52" s="945"/>
      <c r="RE52" s="945"/>
      <c r="RF52" s="945"/>
      <c r="RG52" s="945"/>
      <c r="RH52" s="945"/>
      <c r="RI52" s="945"/>
      <c r="RJ52" s="945"/>
      <c r="RK52" s="945"/>
      <c r="RL52" s="945"/>
      <c r="RM52" s="945"/>
      <c r="RN52" s="945"/>
      <c r="RO52" s="945"/>
      <c r="RP52" s="945"/>
      <c r="RQ52" s="945"/>
      <c r="RR52" s="945"/>
      <c r="RS52" s="945"/>
      <c r="RT52" s="945"/>
      <c r="RU52" s="945"/>
      <c r="RV52" s="945"/>
      <c r="RW52" s="945"/>
      <c r="RX52" s="945"/>
    </row>
    <row r="53" spans="1:492" s="165" customFormat="1">
      <c r="A53" s="945"/>
      <c r="B53" s="945"/>
      <c r="C53" s="945"/>
      <c r="D53" s="945"/>
      <c r="E53" s="945"/>
      <c r="F53" s="945"/>
      <c r="G53" s="945"/>
      <c r="H53" s="945"/>
      <c r="I53" s="945"/>
      <c r="J53" s="945"/>
      <c r="K53" s="945"/>
      <c r="L53" s="945"/>
      <c r="M53" s="945"/>
      <c r="N53" s="945"/>
      <c r="O53" s="945"/>
      <c r="P53" s="945"/>
      <c r="Q53" s="945"/>
      <c r="R53" s="945"/>
      <c r="S53" s="945"/>
      <c r="T53" s="945"/>
      <c r="U53" s="945"/>
      <c r="V53" s="945"/>
      <c r="W53" s="945"/>
      <c r="X53" s="945"/>
      <c r="Y53" s="945"/>
      <c r="Z53" s="945"/>
      <c r="AA53" s="945"/>
      <c r="AB53" s="945"/>
      <c r="AC53" s="945"/>
      <c r="AD53" s="945"/>
      <c r="AE53" s="945"/>
      <c r="AF53" s="945"/>
      <c r="AG53" s="945"/>
      <c r="AH53" s="945"/>
      <c r="AI53" s="945"/>
      <c r="AJ53" s="945"/>
      <c r="AK53" s="945"/>
      <c r="AL53" s="945"/>
      <c r="AM53" s="948"/>
      <c r="AN53" s="948"/>
      <c r="AO53" s="948"/>
      <c r="AP53" s="948"/>
      <c r="AQ53" s="948"/>
      <c r="AR53" s="948"/>
      <c r="AS53" s="948"/>
      <c r="AT53" s="948"/>
      <c r="AU53" s="948"/>
      <c r="AV53" s="948"/>
      <c r="AW53" s="951"/>
      <c r="AX53" s="951"/>
      <c r="AY53" s="951"/>
      <c r="AZ53" s="951"/>
      <c r="BA53" s="948"/>
      <c r="BB53" s="948"/>
      <c r="BC53" s="948"/>
      <c r="BD53" s="948"/>
      <c r="BE53" s="948"/>
      <c r="BF53" s="948"/>
      <c r="BG53" s="948"/>
      <c r="BH53" s="948"/>
      <c r="BI53" s="948"/>
      <c r="BJ53" s="948"/>
      <c r="BK53" s="948"/>
      <c r="BL53" s="948"/>
      <c r="BM53" s="948"/>
      <c r="BN53" s="948"/>
      <c r="BO53" s="948"/>
      <c r="BP53" s="948"/>
      <c r="BQ53" s="948"/>
      <c r="BR53" s="948"/>
      <c r="BS53" s="948"/>
      <c r="BT53" s="948"/>
      <c r="BU53" s="948"/>
      <c r="BV53" s="948"/>
      <c r="BW53" s="948"/>
      <c r="BX53" s="948"/>
      <c r="BY53" s="948"/>
      <c r="BZ53" s="948"/>
      <c r="CA53" s="945"/>
      <c r="CB53" s="945"/>
      <c r="CC53" s="945"/>
      <c r="CD53" s="945"/>
      <c r="CE53" s="945"/>
      <c r="CF53" s="945"/>
      <c r="CG53" s="945"/>
      <c r="CH53" s="945"/>
      <c r="CI53" s="945"/>
      <c r="CJ53" s="945"/>
      <c r="CK53" s="945"/>
      <c r="CL53" s="945"/>
      <c r="CM53" s="945"/>
      <c r="CN53" s="945"/>
      <c r="CO53" s="945"/>
      <c r="CP53" s="945"/>
      <c r="CQ53" s="945"/>
      <c r="CR53" s="945"/>
      <c r="CS53" s="945"/>
      <c r="CT53" s="945"/>
      <c r="CU53" s="945"/>
      <c r="CV53" s="945"/>
      <c r="CW53" s="945"/>
      <c r="CX53" s="945"/>
      <c r="CY53" s="945"/>
      <c r="CZ53" s="945"/>
      <c r="DA53" s="945"/>
      <c r="DB53" s="945"/>
      <c r="DC53" s="945"/>
      <c r="DD53" s="945"/>
      <c r="DE53" s="945"/>
      <c r="DF53" s="945"/>
      <c r="DG53" s="945"/>
      <c r="DH53" s="945"/>
      <c r="DI53" s="945"/>
      <c r="DJ53" s="945"/>
      <c r="DK53" s="945"/>
      <c r="DL53" s="945"/>
      <c r="DM53" s="945"/>
      <c r="DN53" s="945"/>
      <c r="DO53" s="945"/>
      <c r="DP53" s="945"/>
      <c r="DQ53" s="945"/>
      <c r="DR53" s="945"/>
      <c r="DS53" s="945"/>
      <c r="DT53" s="945"/>
      <c r="DU53" s="945"/>
      <c r="DV53" s="945"/>
      <c r="DW53" s="945"/>
      <c r="DX53" s="945"/>
      <c r="DY53" s="945"/>
      <c r="DZ53" s="945"/>
      <c r="EA53" s="945"/>
      <c r="EB53" s="945"/>
      <c r="EC53" s="945"/>
      <c r="ED53" s="945"/>
      <c r="EE53" s="945"/>
      <c r="EF53" s="945"/>
      <c r="EG53" s="945"/>
      <c r="EH53" s="945"/>
      <c r="EI53" s="945"/>
      <c r="EJ53" s="945"/>
      <c r="EK53" s="945"/>
      <c r="EL53" s="945"/>
      <c r="EM53" s="945"/>
      <c r="EN53" s="945"/>
      <c r="EO53" s="945"/>
      <c r="EP53" s="945"/>
      <c r="EQ53" s="945"/>
      <c r="ER53" s="945"/>
      <c r="ES53" s="945"/>
      <c r="ET53" s="945"/>
      <c r="EU53" s="945"/>
      <c r="EV53" s="945"/>
      <c r="EW53" s="945"/>
      <c r="EX53" s="945"/>
      <c r="EY53" s="945"/>
      <c r="EZ53" s="945"/>
      <c r="FA53" s="945"/>
      <c r="FB53" s="945"/>
      <c r="FC53" s="945"/>
      <c r="FD53" s="945"/>
      <c r="FE53" s="945"/>
      <c r="FF53" s="945"/>
      <c r="FG53" s="945"/>
      <c r="FH53" s="945"/>
      <c r="FI53" s="945"/>
      <c r="FJ53" s="945"/>
      <c r="FK53" s="945"/>
      <c r="FL53" s="945"/>
      <c r="FM53" s="945"/>
      <c r="FN53" s="945"/>
      <c r="FO53" s="945"/>
      <c r="FP53" s="945"/>
      <c r="FQ53" s="945"/>
      <c r="FR53" s="945"/>
      <c r="FS53" s="945"/>
      <c r="FT53" s="945"/>
      <c r="FU53" s="945"/>
      <c r="FV53" s="945"/>
      <c r="FW53" s="945"/>
      <c r="FX53" s="945"/>
      <c r="FY53" s="945"/>
      <c r="FZ53" s="945"/>
      <c r="GA53" s="945"/>
      <c r="GB53" s="945"/>
      <c r="GC53" s="945"/>
      <c r="GD53" s="945"/>
      <c r="GE53" s="945"/>
      <c r="GF53" s="945"/>
      <c r="GG53" s="945"/>
      <c r="GH53" s="945"/>
      <c r="GI53" s="945"/>
      <c r="GJ53" s="945"/>
      <c r="GK53" s="945"/>
      <c r="GL53" s="945"/>
      <c r="GM53" s="945"/>
      <c r="GN53" s="945"/>
      <c r="GO53" s="945"/>
      <c r="GP53" s="945"/>
      <c r="GQ53" s="945"/>
      <c r="GR53" s="945"/>
      <c r="GS53" s="945"/>
      <c r="GT53" s="945"/>
      <c r="GU53" s="945"/>
      <c r="GV53" s="945"/>
      <c r="GW53" s="945"/>
      <c r="GX53" s="945"/>
      <c r="GY53" s="945"/>
      <c r="GZ53" s="945"/>
      <c r="HA53" s="945"/>
      <c r="HB53" s="945"/>
      <c r="HC53" s="945"/>
      <c r="HD53" s="945"/>
      <c r="HE53" s="945"/>
      <c r="HF53" s="945"/>
      <c r="HG53" s="945"/>
      <c r="HH53" s="945"/>
      <c r="HI53" s="945"/>
      <c r="HJ53" s="945"/>
      <c r="HK53" s="945"/>
      <c r="HL53" s="945"/>
      <c r="HM53" s="945"/>
      <c r="HN53" s="945"/>
      <c r="HO53" s="945"/>
      <c r="HP53" s="945"/>
      <c r="HQ53" s="945"/>
      <c r="HR53" s="945"/>
      <c r="HS53" s="945"/>
      <c r="HT53" s="945"/>
      <c r="HU53" s="945"/>
      <c r="HV53" s="945"/>
      <c r="HW53" s="945"/>
      <c r="HX53" s="945"/>
      <c r="HY53" s="945"/>
      <c r="HZ53" s="945"/>
      <c r="IA53" s="945"/>
      <c r="IB53" s="945"/>
      <c r="IC53" s="945"/>
      <c r="ID53" s="945"/>
      <c r="IE53" s="945"/>
      <c r="IF53" s="945"/>
      <c r="IG53" s="945"/>
      <c r="IH53" s="945"/>
      <c r="II53" s="945"/>
      <c r="IJ53" s="945"/>
      <c r="IK53" s="945"/>
      <c r="IL53" s="945"/>
      <c r="IM53" s="945"/>
      <c r="IN53" s="945"/>
      <c r="IO53" s="945"/>
      <c r="IP53" s="945"/>
      <c r="IQ53" s="945"/>
      <c r="IR53" s="945"/>
      <c r="IS53" s="945"/>
      <c r="IT53" s="945"/>
      <c r="IU53" s="945"/>
      <c r="IV53" s="945"/>
      <c r="IW53" s="945"/>
      <c r="IX53" s="945"/>
      <c r="IY53" s="945"/>
      <c r="IZ53" s="945"/>
      <c r="JA53" s="945"/>
      <c r="JB53" s="945"/>
      <c r="JC53" s="945"/>
      <c r="JD53" s="945"/>
      <c r="JE53" s="945"/>
      <c r="JF53" s="945"/>
      <c r="JG53" s="945"/>
      <c r="JH53" s="945"/>
      <c r="JI53" s="945"/>
      <c r="JJ53" s="945"/>
      <c r="JK53" s="945"/>
      <c r="JL53" s="945"/>
      <c r="JM53" s="945"/>
      <c r="JN53" s="945"/>
      <c r="JO53" s="945"/>
      <c r="JP53" s="945"/>
      <c r="JQ53" s="945"/>
      <c r="JR53" s="945"/>
      <c r="JS53" s="945"/>
      <c r="JT53" s="945"/>
      <c r="JU53" s="945"/>
      <c r="JV53" s="945"/>
      <c r="JW53" s="945"/>
      <c r="JX53" s="945"/>
      <c r="JY53" s="945"/>
      <c r="JZ53" s="945"/>
      <c r="KA53" s="945"/>
      <c r="KB53" s="945"/>
      <c r="KC53" s="945"/>
      <c r="KD53" s="945"/>
      <c r="KE53" s="945"/>
      <c r="KF53" s="945"/>
      <c r="KG53" s="945"/>
      <c r="KH53" s="945"/>
      <c r="KI53" s="945"/>
      <c r="KJ53" s="945"/>
      <c r="KK53" s="945"/>
      <c r="KL53" s="945"/>
      <c r="KM53" s="945"/>
      <c r="KN53" s="945"/>
      <c r="KO53" s="945"/>
      <c r="KP53" s="945"/>
      <c r="KQ53" s="945"/>
      <c r="KR53" s="945"/>
      <c r="KS53" s="945"/>
      <c r="KT53" s="945"/>
      <c r="KU53" s="945"/>
      <c r="KV53" s="945"/>
      <c r="KW53" s="945"/>
      <c r="KX53" s="945"/>
      <c r="KY53" s="945"/>
      <c r="KZ53" s="945"/>
      <c r="LA53" s="945"/>
      <c r="LB53" s="945"/>
      <c r="LC53" s="945"/>
      <c r="LD53" s="945"/>
      <c r="LE53" s="945"/>
      <c r="LF53" s="945"/>
      <c r="LG53" s="945"/>
      <c r="LH53" s="945"/>
      <c r="LI53" s="945"/>
      <c r="LJ53" s="945"/>
      <c r="LK53" s="945"/>
      <c r="LL53" s="945"/>
      <c r="LM53" s="945"/>
      <c r="LN53" s="945"/>
      <c r="LO53" s="945"/>
      <c r="LP53" s="945"/>
      <c r="LQ53" s="945"/>
      <c r="LR53" s="945"/>
      <c r="LS53" s="945"/>
      <c r="LT53" s="945"/>
      <c r="LU53" s="945"/>
      <c r="LV53" s="945"/>
      <c r="LW53" s="945"/>
      <c r="LX53" s="945"/>
      <c r="LY53" s="945"/>
      <c r="LZ53" s="945"/>
      <c r="MA53" s="945"/>
      <c r="MB53" s="945"/>
      <c r="MC53" s="945"/>
      <c r="MD53" s="945"/>
      <c r="ME53" s="945"/>
      <c r="MF53" s="945"/>
      <c r="MG53" s="945"/>
      <c r="MH53" s="945"/>
      <c r="MI53" s="945"/>
      <c r="MJ53" s="945"/>
      <c r="MK53" s="945"/>
      <c r="ML53" s="945"/>
      <c r="MM53" s="945"/>
      <c r="MN53" s="945"/>
      <c r="MO53" s="945"/>
      <c r="MP53" s="945"/>
      <c r="MQ53" s="945"/>
      <c r="MR53" s="945"/>
      <c r="MS53" s="945"/>
      <c r="MT53" s="945"/>
      <c r="MU53" s="945"/>
      <c r="MV53" s="945"/>
      <c r="MW53" s="945"/>
      <c r="MX53" s="945"/>
      <c r="MY53" s="945"/>
      <c r="MZ53" s="945"/>
      <c r="NA53" s="945"/>
      <c r="NB53" s="945"/>
      <c r="NC53" s="945"/>
      <c r="ND53" s="945"/>
      <c r="NE53" s="945"/>
      <c r="NF53" s="945"/>
      <c r="NG53" s="945"/>
      <c r="NH53" s="945"/>
      <c r="NI53" s="945"/>
      <c r="NJ53" s="945"/>
      <c r="NK53" s="945"/>
      <c r="NL53" s="945"/>
      <c r="NM53" s="945"/>
      <c r="NN53" s="945"/>
      <c r="NO53" s="945"/>
      <c r="NP53" s="945"/>
      <c r="NQ53" s="945"/>
      <c r="NR53" s="945"/>
      <c r="NS53" s="945"/>
      <c r="NT53" s="945"/>
      <c r="NU53" s="945"/>
      <c r="NV53" s="945"/>
      <c r="NW53" s="945"/>
      <c r="NX53" s="945"/>
      <c r="NY53" s="945"/>
      <c r="NZ53" s="945"/>
      <c r="OA53" s="945"/>
      <c r="OB53" s="945"/>
      <c r="OC53" s="945"/>
      <c r="OD53" s="945"/>
      <c r="OE53" s="945"/>
      <c r="OF53" s="945"/>
      <c r="OG53" s="945"/>
      <c r="OH53" s="945"/>
      <c r="OI53" s="945"/>
      <c r="OJ53" s="945"/>
      <c r="OK53" s="945"/>
      <c r="OL53" s="945"/>
      <c r="OM53" s="945"/>
      <c r="ON53" s="945"/>
      <c r="OO53" s="945"/>
      <c r="OP53" s="945"/>
      <c r="OQ53" s="945"/>
      <c r="OR53" s="945"/>
      <c r="OS53" s="945"/>
      <c r="OT53" s="945"/>
      <c r="OU53" s="945"/>
      <c r="OV53" s="945"/>
      <c r="OW53" s="945"/>
      <c r="OX53" s="945"/>
      <c r="OY53" s="945"/>
      <c r="OZ53" s="945"/>
      <c r="PA53" s="945"/>
      <c r="PB53" s="945"/>
      <c r="PC53" s="945"/>
      <c r="PD53" s="945"/>
      <c r="PE53" s="945"/>
      <c r="PF53" s="945"/>
      <c r="PG53" s="945"/>
      <c r="PH53" s="945"/>
      <c r="PI53" s="945"/>
      <c r="PJ53" s="945"/>
      <c r="PK53" s="945"/>
      <c r="PL53" s="945"/>
      <c r="PM53" s="945"/>
      <c r="PN53" s="945"/>
      <c r="PO53" s="945"/>
      <c r="PP53" s="945"/>
      <c r="PQ53" s="945"/>
      <c r="PR53" s="945"/>
      <c r="PS53" s="945"/>
      <c r="PT53" s="945"/>
      <c r="PU53" s="945"/>
      <c r="PV53" s="945"/>
      <c r="PW53" s="945"/>
      <c r="PX53" s="945"/>
      <c r="PY53" s="945"/>
      <c r="PZ53" s="945"/>
      <c r="QA53" s="945"/>
      <c r="QB53" s="945"/>
      <c r="QC53" s="945"/>
      <c r="QD53" s="945"/>
      <c r="QE53" s="945"/>
      <c r="QF53" s="945"/>
      <c r="QG53" s="945"/>
      <c r="QH53" s="945"/>
      <c r="QI53" s="945"/>
      <c r="QJ53" s="945"/>
      <c r="QK53" s="945"/>
      <c r="QL53" s="945"/>
      <c r="QM53" s="945"/>
      <c r="QN53" s="945"/>
      <c r="QO53" s="945"/>
      <c r="QP53" s="945"/>
      <c r="QQ53" s="945"/>
      <c r="QR53" s="945"/>
      <c r="QS53" s="945"/>
      <c r="QT53" s="945"/>
      <c r="QU53" s="945"/>
      <c r="QV53" s="945"/>
      <c r="QW53" s="945"/>
      <c r="QX53" s="945"/>
      <c r="QY53" s="945"/>
      <c r="QZ53" s="945"/>
      <c r="RA53" s="945"/>
      <c r="RB53" s="945"/>
      <c r="RC53" s="945"/>
      <c r="RD53" s="945"/>
      <c r="RE53" s="945"/>
      <c r="RF53" s="945"/>
      <c r="RG53" s="945"/>
      <c r="RH53" s="945"/>
      <c r="RI53" s="945"/>
      <c r="RJ53" s="945"/>
      <c r="RK53" s="945"/>
      <c r="RL53" s="945"/>
      <c r="RM53" s="945"/>
      <c r="RN53" s="945"/>
      <c r="RO53" s="945"/>
      <c r="RP53" s="945"/>
      <c r="RQ53" s="945"/>
      <c r="RR53" s="945"/>
      <c r="RS53" s="945"/>
      <c r="RT53" s="945"/>
      <c r="RU53" s="945"/>
      <c r="RV53" s="945"/>
      <c r="RW53" s="945"/>
      <c r="RX53" s="945"/>
    </row>
    <row r="54" spans="1:492" s="165" customFormat="1">
      <c r="A54" s="945"/>
      <c r="B54" s="945"/>
      <c r="C54" s="945"/>
      <c r="D54" s="945"/>
      <c r="E54" s="945"/>
      <c r="F54" s="945"/>
      <c r="G54" s="945"/>
      <c r="H54" s="945"/>
      <c r="I54" s="945"/>
      <c r="J54" s="945"/>
      <c r="K54" s="945"/>
      <c r="L54" s="945"/>
      <c r="M54" s="945"/>
      <c r="N54" s="945"/>
      <c r="O54" s="945"/>
      <c r="P54" s="945"/>
      <c r="Q54" s="945"/>
      <c r="R54" s="945"/>
      <c r="S54" s="945"/>
      <c r="T54" s="945"/>
      <c r="U54" s="945"/>
      <c r="V54" s="945"/>
      <c r="W54" s="945"/>
      <c r="X54" s="945"/>
      <c r="Y54" s="945"/>
      <c r="Z54" s="945"/>
      <c r="AA54" s="945"/>
      <c r="AB54" s="945"/>
      <c r="AC54" s="945"/>
      <c r="AD54" s="945"/>
      <c r="AE54" s="945"/>
      <c r="AF54" s="945"/>
      <c r="AG54" s="945"/>
      <c r="AH54" s="945"/>
      <c r="AI54" s="945"/>
      <c r="AJ54" s="945"/>
      <c r="AK54" s="945"/>
      <c r="AL54" s="945"/>
      <c r="AM54" s="948"/>
      <c r="AN54" s="948"/>
      <c r="AO54" s="948"/>
      <c r="AP54" s="948"/>
      <c r="AQ54" s="948"/>
      <c r="AR54" s="948"/>
      <c r="AS54" s="948"/>
      <c r="AT54" s="948"/>
      <c r="AU54" s="948"/>
      <c r="AV54" s="948"/>
      <c r="AW54" s="951"/>
      <c r="AX54" s="951"/>
      <c r="AY54" s="951"/>
      <c r="AZ54" s="951"/>
      <c r="BA54" s="948"/>
      <c r="BB54" s="948"/>
      <c r="BC54" s="948"/>
      <c r="BD54" s="948"/>
      <c r="BE54" s="948"/>
      <c r="BF54" s="948"/>
      <c r="BG54" s="948"/>
      <c r="BH54" s="948"/>
      <c r="BI54" s="948"/>
      <c r="BJ54" s="948"/>
      <c r="BK54" s="948"/>
      <c r="BL54" s="948"/>
      <c r="BM54" s="948"/>
      <c r="BN54" s="948"/>
      <c r="BO54" s="948"/>
      <c r="BP54" s="948"/>
      <c r="BQ54" s="948"/>
      <c r="BR54" s="948"/>
      <c r="BS54" s="948"/>
      <c r="BT54" s="948"/>
      <c r="BU54" s="948"/>
      <c r="BV54" s="948"/>
      <c r="BW54" s="948"/>
      <c r="BX54" s="948"/>
      <c r="BY54" s="948"/>
      <c r="BZ54" s="948"/>
      <c r="CA54" s="945"/>
      <c r="CB54" s="945"/>
      <c r="CC54" s="945"/>
      <c r="CD54" s="945"/>
      <c r="CE54" s="945"/>
      <c r="CF54" s="945"/>
      <c r="CG54" s="945"/>
      <c r="CH54" s="945"/>
      <c r="CI54" s="945"/>
      <c r="CJ54" s="945"/>
      <c r="CK54" s="945"/>
      <c r="CL54" s="945"/>
      <c r="CM54" s="945"/>
      <c r="CN54" s="945"/>
      <c r="CO54" s="945"/>
      <c r="CP54" s="945"/>
      <c r="CQ54" s="945"/>
      <c r="CR54" s="945"/>
      <c r="CS54" s="945"/>
      <c r="CT54" s="945"/>
      <c r="CU54" s="945"/>
      <c r="CV54" s="945"/>
      <c r="CW54" s="945"/>
      <c r="CX54" s="945"/>
      <c r="CY54" s="945"/>
      <c r="CZ54" s="945"/>
      <c r="DA54" s="945"/>
      <c r="DB54" s="945"/>
      <c r="DC54" s="945"/>
      <c r="DD54" s="945"/>
      <c r="DE54" s="945"/>
      <c r="DF54" s="945"/>
      <c r="DG54" s="945"/>
      <c r="DH54" s="945"/>
      <c r="DI54" s="945"/>
      <c r="DJ54" s="945"/>
      <c r="DK54" s="945"/>
      <c r="DL54" s="945"/>
      <c r="DM54" s="945"/>
      <c r="DN54" s="945"/>
      <c r="DO54" s="945"/>
      <c r="DP54" s="945"/>
      <c r="DQ54" s="945"/>
      <c r="DR54" s="945"/>
      <c r="DS54" s="945"/>
      <c r="DT54" s="945"/>
      <c r="DU54" s="945"/>
      <c r="DV54" s="945"/>
      <c r="DW54" s="945"/>
      <c r="DX54" s="945"/>
      <c r="DY54" s="945"/>
      <c r="DZ54" s="945"/>
      <c r="EA54" s="945"/>
      <c r="EB54" s="945"/>
      <c r="EC54" s="945"/>
      <c r="ED54" s="945"/>
      <c r="EE54" s="945"/>
      <c r="EF54" s="945"/>
      <c r="EG54" s="945"/>
      <c r="EH54" s="945"/>
      <c r="EI54" s="945"/>
      <c r="EJ54" s="945"/>
      <c r="EK54" s="945"/>
      <c r="EL54" s="945"/>
      <c r="EM54" s="945"/>
      <c r="EN54" s="945"/>
      <c r="EO54" s="945"/>
      <c r="EP54" s="945"/>
      <c r="EQ54" s="945"/>
      <c r="ER54" s="945"/>
      <c r="ES54" s="945"/>
      <c r="ET54" s="945"/>
      <c r="EU54" s="945"/>
      <c r="EV54" s="945"/>
      <c r="EW54" s="945"/>
      <c r="EX54" s="945"/>
      <c r="EY54" s="945"/>
      <c r="EZ54" s="945"/>
      <c r="FA54" s="945"/>
      <c r="FB54" s="945"/>
      <c r="FC54" s="945"/>
      <c r="FD54" s="945"/>
      <c r="FE54" s="945"/>
      <c r="FF54" s="945"/>
      <c r="FG54" s="945"/>
      <c r="FH54" s="945"/>
      <c r="FI54" s="945"/>
      <c r="FJ54" s="945"/>
      <c r="FK54" s="945"/>
      <c r="FL54" s="945"/>
      <c r="FM54" s="945"/>
      <c r="FN54" s="945"/>
      <c r="FO54" s="945"/>
      <c r="FP54" s="945"/>
      <c r="FQ54" s="945"/>
      <c r="FR54" s="945"/>
      <c r="FS54" s="945"/>
      <c r="FT54" s="945"/>
      <c r="FU54" s="945"/>
      <c r="FV54" s="945"/>
      <c r="FW54" s="945"/>
      <c r="FX54" s="945"/>
      <c r="FY54" s="945"/>
      <c r="FZ54" s="945"/>
      <c r="GA54" s="945"/>
      <c r="GB54" s="945"/>
      <c r="GC54" s="945"/>
      <c r="GD54" s="945"/>
      <c r="GE54" s="945"/>
      <c r="GF54" s="945"/>
      <c r="GG54" s="945"/>
      <c r="GH54" s="945"/>
      <c r="GI54" s="945"/>
      <c r="GJ54" s="945"/>
      <c r="GK54" s="945"/>
      <c r="GL54" s="945"/>
      <c r="GM54" s="945"/>
      <c r="GN54" s="945"/>
      <c r="GO54" s="945"/>
      <c r="GP54" s="945"/>
      <c r="GQ54" s="945"/>
      <c r="GR54" s="945"/>
      <c r="GS54" s="945"/>
      <c r="GT54" s="945"/>
      <c r="GU54" s="945"/>
      <c r="GV54" s="945"/>
      <c r="GW54" s="945"/>
      <c r="GX54" s="945"/>
      <c r="GY54" s="945"/>
      <c r="GZ54" s="945"/>
      <c r="HA54" s="945"/>
      <c r="HB54" s="945"/>
      <c r="HC54" s="945"/>
      <c r="HD54" s="945"/>
      <c r="HE54" s="945"/>
      <c r="HF54" s="945"/>
      <c r="HG54" s="945"/>
      <c r="HH54" s="945"/>
      <c r="HI54" s="945"/>
      <c r="HJ54" s="945"/>
      <c r="HK54" s="945"/>
      <c r="HL54" s="945"/>
      <c r="HM54" s="945"/>
      <c r="HN54" s="945"/>
      <c r="HO54" s="945"/>
      <c r="HP54" s="945"/>
      <c r="HQ54" s="945"/>
      <c r="HR54" s="945"/>
      <c r="HS54" s="945"/>
      <c r="HT54" s="945"/>
      <c r="HU54" s="945"/>
      <c r="HV54" s="945"/>
      <c r="HW54" s="945"/>
      <c r="HX54" s="945"/>
      <c r="HY54" s="945"/>
      <c r="HZ54" s="945"/>
      <c r="IA54" s="945"/>
      <c r="IB54" s="945"/>
      <c r="IC54" s="945"/>
      <c r="ID54" s="945"/>
      <c r="IE54" s="945"/>
      <c r="IF54" s="945"/>
      <c r="IG54" s="945"/>
      <c r="IH54" s="945"/>
      <c r="II54" s="945"/>
      <c r="IJ54" s="945"/>
      <c r="IK54" s="945"/>
      <c r="IL54" s="945"/>
      <c r="IM54" s="945"/>
      <c r="IN54" s="945"/>
      <c r="IO54" s="945"/>
      <c r="IP54" s="945"/>
      <c r="IQ54" s="945"/>
      <c r="IR54" s="945"/>
      <c r="IS54" s="945"/>
      <c r="IT54" s="945"/>
      <c r="IU54" s="945"/>
      <c r="IV54" s="945"/>
      <c r="IW54" s="945"/>
      <c r="IX54" s="945"/>
      <c r="IY54" s="945"/>
      <c r="IZ54" s="945"/>
      <c r="JA54" s="945"/>
      <c r="JB54" s="945"/>
      <c r="JC54" s="945"/>
      <c r="JD54" s="945"/>
      <c r="JE54" s="945"/>
      <c r="JF54" s="945"/>
      <c r="JG54" s="945"/>
      <c r="JH54" s="945"/>
      <c r="JI54" s="945"/>
      <c r="JJ54" s="945"/>
      <c r="JK54" s="945"/>
      <c r="JL54" s="945"/>
      <c r="JM54" s="945"/>
      <c r="JN54" s="945"/>
      <c r="JO54" s="945"/>
      <c r="JP54" s="945"/>
      <c r="JQ54" s="945"/>
      <c r="JR54" s="945"/>
      <c r="JS54" s="945"/>
      <c r="JT54" s="945"/>
      <c r="JU54" s="945"/>
      <c r="JV54" s="945"/>
      <c r="JW54" s="945"/>
      <c r="JX54" s="945"/>
      <c r="JY54" s="945"/>
      <c r="JZ54" s="945"/>
      <c r="KA54" s="945"/>
      <c r="KB54" s="945"/>
      <c r="KC54" s="945"/>
      <c r="KD54" s="945"/>
      <c r="KE54" s="945"/>
      <c r="KF54" s="945"/>
      <c r="KG54" s="945"/>
      <c r="KH54" s="945"/>
      <c r="KI54" s="945"/>
      <c r="KJ54" s="945"/>
      <c r="KK54" s="945"/>
      <c r="KL54" s="945"/>
      <c r="KM54" s="945"/>
      <c r="KN54" s="945"/>
      <c r="KO54" s="945"/>
      <c r="KP54" s="945"/>
      <c r="KQ54" s="945"/>
      <c r="KR54" s="945"/>
      <c r="KS54" s="945"/>
      <c r="KT54" s="945"/>
      <c r="KU54" s="945"/>
      <c r="KV54" s="945"/>
      <c r="KW54" s="945"/>
      <c r="KX54" s="945"/>
      <c r="KY54" s="945"/>
      <c r="KZ54" s="945"/>
      <c r="LA54" s="945"/>
      <c r="LB54" s="945"/>
      <c r="LC54" s="945"/>
      <c r="LD54" s="945"/>
      <c r="LE54" s="945"/>
      <c r="LF54" s="945"/>
      <c r="LG54" s="945"/>
      <c r="LH54" s="945"/>
      <c r="LI54" s="945"/>
      <c r="LJ54" s="945"/>
      <c r="LK54" s="945"/>
      <c r="LL54" s="945"/>
      <c r="LM54" s="945"/>
      <c r="LN54" s="945"/>
      <c r="LO54" s="945"/>
      <c r="LP54" s="945"/>
      <c r="LQ54" s="945"/>
      <c r="LR54" s="945"/>
      <c r="LS54" s="945"/>
      <c r="LT54" s="945"/>
      <c r="LU54" s="945"/>
      <c r="LV54" s="945"/>
      <c r="LW54" s="945"/>
      <c r="LX54" s="945"/>
      <c r="LY54" s="945"/>
      <c r="LZ54" s="945"/>
      <c r="MA54" s="945"/>
      <c r="MB54" s="945"/>
      <c r="MC54" s="945"/>
      <c r="MD54" s="945"/>
      <c r="ME54" s="945"/>
      <c r="MF54" s="945"/>
      <c r="MG54" s="945"/>
      <c r="MH54" s="945"/>
      <c r="MI54" s="945"/>
      <c r="MJ54" s="945"/>
      <c r="MK54" s="945"/>
      <c r="ML54" s="945"/>
      <c r="MM54" s="945"/>
      <c r="MN54" s="945"/>
      <c r="MO54" s="945"/>
      <c r="MP54" s="945"/>
      <c r="MQ54" s="945"/>
      <c r="MR54" s="945"/>
      <c r="MS54" s="945"/>
      <c r="MT54" s="945"/>
      <c r="MU54" s="945"/>
      <c r="MV54" s="945"/>
      <c r="MW54" s="945"/>
      <c r="MX54" s="945"/>
      <c r="MY54" s="945"/>
      <c r="MZ54" s="945"/>
      <c r="NA54" s="945"/>
      <c r="NB54" s="945"/>
      <c r="NC54" s="945"/>
      <c r="ND54" s="945"/>
      <c r="NE54" s="945"/>
      <c r="NF54" s="945"/>
      <c r="NG54" s="945"/>
      <c r="NH54" s="945"/>
      <c r="NI54" s="945"/>
      <c r="NJ54" s="945"/>
      <c r="NK54" s="945"/>
      <c r="NL54" s="945"/>
      <c r="NM54" s="945"/>
      <c r="NN54" s="945"/>
      <c r="NO54" s="945"/>
      <c r="NP54" s="945"/>
      <c r="NQ54" s="945"/>
      <c r="NR54" s="945"/>
      <c r="NS54" s="945"/>
      <c r="NT54" s="945"/>
      <c r="NU54" s="945"/>
      <c r="NV54" s="945"/>
      <c r="NW54" s="945"/>
      <c r="NX54" s="945"/>
      <c r="NY54" s="945"/>
      <c r="NZ54" s="945"/>
      <c r="OA54" s="945"/>
      <c r="OB54" s="945"/>
      <c r="OC54" s="945"/>
      <c r="OD54" s="945"/>
      <c r="OE54" s="945"/>
      <c r="OF54" s="945"/>
      <c r="OG54" s="945"/>
      <c r="OH54" s="945"/>
      <c r="OI54" s="945"/>
      <c r="OJ54" s="945"/>
      <c r="OK54" s="945"/>
      <c r="OL54" s="945"/>
      <c r="OM54" s="945"/>
      <c r="ON54" s="945"/>
      <c r="OO54" s="945"/>
      <c r="OP54" s="945"/>
      <c r="OQ54" s="945"/>
      <c r="OR54" s="945"/>
      <c r="OS54" s="945"/>
      <c r="OT54" s="945"/>
      <c r="OU54" s="945"/>
      <c r="OV54" s="945"/>
      <c r="OW54" s="945"/>
      <c r="OX54" s="945"/>
      <c r="OY54" s="945"/>
      <c r="OZ54" s="945"/>
      <c r="PA54" s="945"/>
      <c r="PB54" s="945"/>
      <c r="PC54" s="945"/>
      <c r="PD54" s="945"/>
      <c r="PE54" s="945"/>
      <c r="PF54" s="945"/>
      <c r="PG54" s="945"/>
      <c r="PH54" s="945"/>
      <c r="PI54" s="945"/>
      <c r="PJ54" s="945"/>
      <c r="PK54" s="945"/>
      <c r="PL54" s="945"/>
      <c r="PM54" s="945"/>
      <c r="PN54" s="945"/>
      <c r="PO54" s="945"/>
      <c r="PP54" s="945"/>
      <c r="PQ54" s="945"/>
      <c r="PR54" s="945"/>
      <c r="PS54" s="945"/>
      <c r="PT54" s="945"/>
      <c r="PU54" s="945"/>
      <c r="PV54" s="945"/>
      <c r="PW54" s="945"/>
      <c r="PX54" s="945"/>
      <c r="PY54" s="945"/>
      <c r="PZ54" s="945"/>
      <c r="QA54" s="945"/>
      <c r="QB54" s="945"/>
      <c r="QC54" s="945"/>
      <c r="QD54" s="945"/>
      <c r="QE54" s="945"/>
      <c r="QF54" s="945"/>
      <c r="QG54" s="945"/>
      <c r="QH54" s="945"/>
      <c r="QI54" s="945"/>
      <c r="QJ54" s="945"/>
      <c r="QK54" s="945"/>
      <c r="QL54" s="945"/>
      <c r="QM54" s="945"/>
      <c r="QN54" s="945"/>
      <c r="QO54" s="945"/>
      <c r="QP54" s="945"/>
      <c r="QQ54" s="945"/>
      <c r="QR54" s="945"/>
      <c r="QS54" s="945"/>
      <c r="QT54" s="945"/>
      <c r="QU54" s="945"/>
      <c r="QV54" s="945"/>
      <c r="QW54" s="945"/>
      <c r="QX54" s="945"/>
      <c r="QY54" s="945"/>
      <c r="QZ54" s="945"/>
      <c r="RA54" s="945"/>
      <c r="RB54" s="945"/>
      <c r="RC54" s="945"/>
      <c r="RD54" s="945"/>
      <c r="RE54" s="945"/>
      <c r="RF54" s="945"/>
      <c r="RG54" s="945"/>
      <c r="RH54" s="945"/>
      <c r="RI54" s="945"/>
      <c r="RJ54" s="945"/>
      <c r="RK54" s="945"/>
      <c r="RL54" s="945"/>
      <c r="RM54" s="945"/>
      <c r="RN54" s="945"/>
      <c r="RO54" s="945"/>
      <c r="RP54" s="945"/>
      <c r="RQ54" s="945"/>
      <c r="RR54" s="945"/>
      <c r="RS54" s="945"/>
      <c r="RT54" s="945"/>
      <c r="RU54" s="945"/>
      <c r="RV54" s="945"/>
      <c r="RW54" s="945"/>
      <c r="RX54" s="945"/>
    </row>
    <row r="55" spans="1:492" s="165" customFormat="1">
      <c r="A55" s="945"/>
      <c r="B55" s="945"/>
      <c r="C55" s="945"/>
      <c r="D55" s="945"/>
      <c r="E55" s="945"/>
      <c r="F55" s="945"/>
      <c r="G55" s="945"/>
      <c r="H55" s="945"/>
      <c r="I55" s="945"/>
      <c r="J55" s="945"/>
      <c r="K55" s="945"/>
      <c r="L55" s="945"/>
      <c r="M55" s="945"/>
      <c r="N55" s="945"/>
      <c r="O55" s="945"/>
      <c r="P55" s="945"/>
      <c r="Q55" s="945"/>
      <c r="R55" s="945"/>
      <c r="S55" s="945"/>
      <c r="T55" s="945"/>
      <c r="U55" s="945"/>
      <c r="V55" s="945"/>
      <c r="W55" s="945"/>
      <c r="X55" s="945"/>
      <c r="Y55" s="945"/>
      <c r="Z55" s="945"/>
      <c r="AA55" s="945"/>
      <c r="AB55" s="945"/>
      <c r="AC55" s="945"/>
      <c r="AD55" s="945"/>
      <c r="AE55" s="945"/>
      <c r="AF55" s="945"/>
      <c r="AG55" s="945"/>
      <c r="AH55" s="945"/>
      <c r="AI55" s="945"/>
      <c r="AJ55" s="945"/>
      <c r="AK55" s="945"/>
      <c r="AL55" s="945"/>
      <c r="AM55" s="948"/>
      <c r="AN55" s="948"/>
      <c r="AO55" s="948"/>
      <c r="AP55" s="948"/>
      <c r="AQ55" s="948"/>
      <c r="AR55" s="948"/>
      <c r="AS55" s="948"/>
      <c r="AT55" s="948"/>
      <c r="AU55" s="948"/>
      <c r="AV55" s="948"/>
      <c r="AW55" s="951"/>
      <c r="AX55" s="951"/>
      <c r="AY55" s="951"/>
      <c r="AZ55" s="951"/>
      <c r="BA55" s="948"/>
      <c r="BB55" s="948"/>
      <c r="BC55" s="948"/>
      <c r="BD55" s="948"/>
      <c r="BE55" s="948"/>
      <c r="BF55" s="948"/>
      <c r="BG55" s="948"/>
      <c r="BH55" s="948"/>
      <c r="BI55" s="948"/>
      <c r="BJ55" s="948"/>
      <c r="BK55" s="948"/>
      <c r="BL55" s="948"/>
      <c r="BM55" s="948"/>
      <c r="BN55" s="948"/>
      <c r="BO55" s="948"/>
      <c r="BP55" s="948"/>
      <c r="BQ55" s="948"/>
      <c r="BR55" s="948"/>
      <c r="BS55" s="948"/>
      <c r="BT55" s="948"/>
      <c r="BU55" s="948"/>
      <c r="BV55" s="948"/>
      <c r="BW55" s="948"/>
      <c r="BX55" s="948"/>
      <c r="BY55" s="948"/>
      <c r="BZ55" s="948"/>
      <c r="CA55" s="945"/>
      <c r="CB55" s="945"/>
      <c r="CC55" s="945"/>
      <c r="CD55" s="945"/>
      <c r="CE55" s="945"/>
      <c r="CF55" s="945"/>
      <c r="CG55" s="945"/>
      <c r="CH55" s="945"/>
      <c r="CI55" s="945"/>
      <c r="CJ55" s="945"/>
      <c r="CK55" s="945"/>
      <c r="CL55" s="945"/>
      <c r="CM55" s="945"/>
      <c r="CN55" s="945"/>
      <c r="CO55" s="945"/>
      <c r="CP55" s="945"/>
      <c r="CQ55" s="945"/>
      <c r="CR55" s="945"/>
      <c r="CS55" s="945"/>
      <c r="CT55" s="945"/>
      <c r="CU55" s="945"/>
      <c r="CV55" s="945"/>
      <c r="CW55" s="945"/>
      <c r="CX55" s="945"/>
      <c r="CY55" s="945"/>
      <c r="CZ55" s="945"/>
      <c r="DA55" s="945"/>
      <c r="DB55" s="945"/>
      <c r="DC55" s="945"/>
      <c r="DD55" s="945"/>
      <c r="DE55" s="945"/>
      <c r="DF55" s="945"/>
      <c r="DG55" s="945"/>
      <c r="DH55" s="945"/>
      <c r="DI55" s="945"/>
      <c r="DJ55" s="945"/>
      <c r="DK55" s="945"/>
      <c r="DL55" s="945"/>
      <c r="DM55" s="945"/>
      <c r="DN55" s="945"/>
      <c r="DO55" s="945"/>
      <c r="DP55" s="945"/>
      <c r="DQ55" s="945"/>
      <c r="DR55" s="945"/>
      <c r="DS55" s="945"/>
      <c r="DT55" s="945"/>
      <c r="DU55" s="945"/>
      <c r="DV55" s="945"/>
      <c r="DW55" s="945"/>
      <c r="DX55" s="945"/>
      <c r="DY55" s="945"/>
      <c r="DZ55" s="945"/>
      <c r="EA55" s="945"/>
      <c r="EB55" s="945"/>
      <c r="EC55" s="945"/>
      <c r="ED55" s="945"/>
      <c r="EE55" s="945"/>
      <c r="EF55" s="945"/>
      <c r="EG55" s="945"/>
      <c r="EH55" s="945"/>
      <c r="EI55" s="945"/>
      <c r="EJ55" s="945"/>
      <c r="EK55" s="945"/>
      <c r="EL55" s="945"/>
      <c r="EM55" s="945"/>
      <c r="EN55" s="945"/>
      <c r="EO55" s="945"/>
      <c r="EP55" s="945"/>
      <c r="EQ55" s="945"/>
      <c r="ER55" s="945"/>
      <c r="ES55" s="945"/>
      <c r="ET55" s="945"/>
      <c r="EU55" s="945"/>
      <c r="EV55" s="945"/>
      <c r="EW55" s="945"/>
      <c r="EX55" s="945"/>
      <c r="EY55" s="945"/>
      <c r="EZ55" s="945"/>
      <c r="FA55" s="945"/>
      <c r="FB55" s="945"/>
      <c r="FC55" s="945"/>
      <c r="FD55" s="945"/>
      <c r="FE55" s="945"/>
      <c r="FF55" s="945"/>
      <c r="FG55" s="945"/>
      <c r="FH55" s="945"/>
      <c r="FI55" s="945"/>
      <c r="FJ55" s="945"/>
      <c r="FK55" s="945"/>
      <c r="FL55" s="945"/>
      <c r="FM55" s="945"/>
      <c r="FN55" s="945"/>
      <c r="FO55" s="945"/>
      <c r="FP55" s="945"/>
      <c r="FQ55" s="945"/>
      <c r="FR55" s="945"/>
      <c r="FS55" s="945"/>
      <c r="FT55" s="945"/>
      <c r="FU55" s="945"/>
      <c r="FV55" s="945"/>
      <c r="FW55" s="945"/>
      <c r="FX55" s="945"/>
      <c r="FY55" s="945"/>
      <c r="FZ55" s="945"/>
      <c r="GA55" s="945"/>
      <c r="GB55" s="945"/>
      <c r="GC55" s="945"/>
      <c r="GD55" s="945"/>
      <c r="GE55" s="945"/>
      <c r="GF55" s="945"/>
      <c r="GG55" s="945"/>
      <c r="GH55" s="945"/>
      <c r="GI55" s="945"/>
      <c r="GJ55" s="945"/>
      <c r="GK55" s="945"/>
      <c r="GL55" s="945"/>
      <c r="GM55" s="945"/>
      <c r="GN55" s="945"/>
      <c r="GO55" s="945"/>
      <c r="GP55" s="945"/>
      <c r="GQ55" s="945"/>
      <c r="GR55" s="945"/>
      <c r="GS55" s="945"/>
      <c r="GT55" s="945"/>
      <c r="GU55" s="945"/>
      <c r="GV55" s="945"/>
      <c r="GW55" s="945"/>
      <c r="GX55" s="945"/>
      <c r="GY55" s="945"/>
      <c r="GZ55" s="945"/>
      <c r="HA55" s="945"/>
      <c r="HB55" s="945"/>
      <c r="HC55" s="945"/>
      <c r="HD55" s="945"/>
      <c r="HE55" s="945"/>
      <c r="HF55" s="945"/>
      <c r="HG55" s="945"/>
      <c r="HH55" s="945"/>
      <c r="HI55" s="945"/>
      <c r="HJ55" s="945"/>
      <c r="HK55" s="945"/>
      <c r="HL55" s="945"/>
      <c r="HM55" s="945"/>
      <c r="HN55" s="945"/>
      <c r="HO55" s="945"/>
      <c r="HP55" s="945"/>
      <c r="HQ55" s="945"/>
      <c r="HR55" s="945"/>
      <c r="HS55" s="945"/>
      <c r="HT55" s="945"/>
      <c r="HU55" s="945"/>
      <c r="HV55" s="945"/>
      <c r="HW55" s="945"/>
      <c r="HX55" s="945"/>
      <c r="HY55" s="945"/>
      <c r="HZ55" s="945"/>
      <c r="IA55" s="945"/>
      <c r="IB55" s="945"/>
      <c r="IC55" s="945"/>
      <c r="ID55" s="945"/>
      <c r="IE55" s="945"/>
      <c r="IF55" s="945"/>
      <c r="IG55" s="945"/>
      <c r="IH55" s="945"/>
      <c r="II55" s="945"/>
      <c r="IJ55" s="945"/>
      <c r="IK55" s="945"/>
      <c r="IL55" s="945"/>
      <c r="IM55" s="945"/>
      <c r="IN55" s="945"/>
      <c r="IO55" s="945"/>
      <c r="IP55" s="945"/>
      <c r="IQ55" s="945"/>
      <c r="IR55" s="945"/>
      <c r="IS55" s="945"/>
      <c r="IT55" s="945"/>
      <c r="IU55" s="945"/>
      <c r="IV55" s="945"/>
      <c r="IW55" s="945"/>
      <c r="IX55" s="945"/>
      <c r="IY55" s="945"/>
      <c r="IZ55" s="945"/>
      <c r="JA55" s="945"/>
      <c r="JB55" s="945"/>
      <c r="JC55" s="945"/>
      <c r="JD55" s="945"/>
      <c r="JE55" s="945"/>
      <c r="JF55" s="945"/>
      <c r="JG55" s="945"/>
      <c r="JH55" s="945"/>
      <c r="JI55" s="945"/>
      <c r="JJ55" s="945"/>
      <c r="JK55" s="945"/>
      <c r="JL55" s="945"/>
      <c r="JM55" s="945"/>
      <c r="JN55" s="945"/>
      <c r="JO55" s="945"/>
      <c r="JP55" s="945"/>
      <c r="JQ55" s="945"/>
      <c r="JR55" s="945"/>
      <c r="JS55" s="945"/>
      <c r="JT55" s="945"/>
      <c r="JU55" s="945"/>
      <c r="JV55" s="945"/>
      <c r="JW55" s="945"/>
      <c r="JX55" s="945"/>
      <c r="JY55" s="945"/>
      <c r="JZ55" s="945"/>
      <c r="KA55" s="945"/>
      <c r="KB55" s="945"/>
      <c r="KC55" s="945"/>
      <c r="KD55" s="945"/>
      <c r="KE55" s="945"/>
      <c r="KF55" s="945"/>
      <c r="KG55" s="945"/>
      <c r="KH55" s="945"/>
      <c r="KI55" s="945"/>
      <c r="KJ55" s="945"/>
      <c r="KK55" s="945"/>
      <c r="KL55" s="945"/>
      <c r="KM55" s="945"/>
      <c r="KN55" s="945"/>
      <c r="KO55" s="945"/>
      <c r="KP55" s="945"/>
      <c r="KQ55" s="945"/>
      <c r="KR55" s="945"/>
      <c r="KS55" s="945"/>
      <c r="KT55" s="945"/>
      <c r="KU55" s="945"/>
      <c r="KV55" s="945"/>
      <c r="KW55" s="945"/>
      <c r="KX55" s="945"/>
      <c r="KY55" s="945"/>
      <c r="KZ55" s="945"/>
      <c r="LA55" s="945"/>
      <c r="LB55" s="945"/>
      <c r="LC55" s="945"/>
      <c r="LD55" s="945"/>
      <c r="LE55" s="945"/>
      <c r="LF55" s="945"/>
      <c r="LG55" s="945"/>
      <c r="LH55" s="945"/>
      <c r="LI55" s="945"/>
      <c r="LJ55" s="945"/>
      <c r="LK55" s="945"/>
      <c r="LL55" s="945"/>
      <c r="LM55" s="945"/>
      <c r="LN55" s="945"/>
      <c r="LO55" s="945"/>
      <c r="LP55" s="945"/>
      <c r="LQ55" s="945"/>
      <c r="LR55" s="945"/>
      <c r="LS55" s="945"/>
      <c r="LT55" s="945"/>
      <c r="LU55" s="945"/>
      <c r="LV55" s="945"/>
      <c r="LW55" s="945"/>
      <c r="LX55" s="945"/>
      <c r="LY55" s="945"/>
      <c r="LZ55" s="945"/>
      <c r="MA55" s="945"/>
      <c r="MB55" s="945"/>
      <c r="MC55" s="945"/>
      <c r="MD55" s="945"/>
      <c r="ME55" s="945"/>
      <c r="MF55" s="945"/>
      <c r="MG55" s="945"/>
      <c r="MH55" s="945"/>
      <c r="MI55" s="945"/>
      <c r="MJ55" s="945"/>
      <c r="MK55" s="945"/>
      <c r="ML55" s="945"/>
      <c r="MM55" s="945"/>
      <c r="MN55" s="945"/>
      <c r="MO55" s="945"/>
      <c r="MP55" s="945"/>
      <c r="MQ55" s="945"/>
      <c r="MR55" s="945"/>
      <c r="MS55" s="945"/>
      <c r="MT55" s="945"/>
      <c r="MU55" s="945"/>
      <c r="MV55" s="945"/>
      <c r="MW55" s="945"/>
      <c r="MX55" s="945"/>
      <c r="MY55" s="945"/>
      <c r="MZ55" s="945"/>
      <c r="NA55" s="945"/>
      <c r="NB55" s="945"/>
      <c r="NC55" s="945"/>
      <c r="ND55" s="945"/>
      <c r="NE55" s="945"/>
      <c r="NF55" s="945"/>
      <c r="NG55" s="945"/>
      <c r="NH55" s="945"/>
      <c r="NI55" s="945"/>
      <c r="NJ55" s="945"/>
      <c r="NK55" s="945"/>
      <c r="NL55" s="945"/>
      <c r="NM55" s="945"/>
      <c r="NN55" s="945"/>
      <c r="NO55" s="945"/>
      <c r="NP55" s="945"/>
      <c r="NQ55" s="945"/>
      <c r="NR55" s="945"/>
      <c r="NS55" s="945"/>
      <c r="NT55" s="945"/>
      <c r="NU55" s="945"/>
      <c r="NV55" s="945"/>
      <c r="NW55" s="945"/>
      <c r="NX55" s="945"/>
      <c r="NY55" s="945"/>
      <c r="NZ55" s="945"/>
      <c r="OA55" s="945"/>
      <c r="OB55" s="945"/>
      <c r="OC55" s="945"/>
      <c r="OD55" s="945"/>
      <c r="OE55" s="945"/>
      <c r="OF55" s="945"/>
      <c r="OG55" s="945"/>
      <c r="OH55" s="945"/>
      <c r="OI55" s="945"/>
      <c r="OJ55" s="945"/>
      <c r="OK55" s="945"/>
      <c r="OL55" s="945"/>
      <c r="OM55" s="945"/>
      <c r="ON55" s="945"/>
      <c r="OO55" s="945"/>
      <c r="OP55" s="945"/>
      <c r="OQ55" s="945"/>
      <c r="OR55" s="945"/>
      <c r="OS55" s="945"/>
      <c r="OT55" s="945"/>
      <c r="OU55" s="945"/>
      <c r="OV55" s="945"/>
      <c r="OW55" s="945"/>
      <c r="OX55" s="945"/>
      <c r="OY55" s="945"/>
      <c r="OZ55" s="945"/>
      <c r="PA55" s="945"/>
      <c r="PB55" s="945"/>
      <c r="PC55" s="945"/>
      <c r="PD55" s="945"/>
      <c r="PE55" s="945"/>
      <c r="PF55" s="945"/>
      <c r="PG55" s="945"/>
      <c r="PH55" s="945"/>
      <c r="PI55" s="945"/>
      <c r="PJ55" s="945"/>
      <c r="PK55" s="945"/>
      <c r="PL55" s="945"/>
      <c r="PM55" s="945"/>
      <c r="PN55" s="945"/>
      <c r="PO55" s="945"/>
      <c r="PP55" s="945"/>
      <c r="PQ55" s="945"/>
      <c r="PR55" s="945"/>
      <c r="PS55" s="945"/>
      <c r="PT55" s="945"/>
      <c r="PU55" s="945"/>
      <c r="PV55" s="945"/>
      <c r="PW55" s="945"/>
      <c r="PX55" s="945"/>
      <c r="PY55" s="945"/>
      <c r="PZ55" s="945"/>
      <c r="QA55" s="945"/>
      <c r="QB55" s="945"/>
      <c r="QC55" s="945"/>
      <c r="QD55" s="945"/>
      <c r="QE55" s="945"/>
      <c r="QF55" s="945"/>
      <c r="QG55" s="945"/>
      <c r="QH55" s="945"/>
      <c r="QI55" s="945"/>
      <c r="QJ55" s="945"/>
      <c r="QK55" s="945"/>
      <c r="QL55" s="945"/>
      <c r="QM55" s="945"/>
      <c r="QN55" s="945"/>
      <c r="QO55" s="945"/>
      <c r="QP55" s="945"/>
      <c r="QQ55" s="945"/>
      <c r="QR55" s="945"/>
      <c r="QS55" s="945"/>
      <c r="QT55" s="945"/>
      <c r="QU55" s="945"/>
      <c r="QV55" s="945"/>
      <c r="QW55" s="945"/>
      <c r="QX55" s="945"/>
      <c r="QY55" s="945"/>
      <c r="QZ55" s="945"/>
      <c r="RA55" s="945"/>
      <c r="RB55" s="945"/>
      <c r="RC55" s="945"/>
      <c r="RD55" s="945"/>
      <c r="RE55" s="945"/>
      <c r="RF55" s="945"/>
      <c r="RG55" s="945"/>
      <c r="RH55" s="945"/>
      <c r="RI55" s="945"/>
      <c r="RJ55" s="945"/>
      <c r="RK55" s="945"/>
      <c r="RL55" s="945"/>
      <c r="RM55" s="945"/>
      <c r="RN55" s="945"/>
      <c r="RO55" s="945"/>
      <c r="RP55" s="945"/>
      <c r="RQ55" s="945"/>
      <c r="RR55" s="945"/>
      <c r="RS55" s="945"/>
      <c r="RT55" s="945"/>
      <c r="RU55" s="945"/>
      <c r="RV55" s="945"/>
      <c r="RW55" s="945"/>
      <c r="RX55" s="945"/>
    </row>
    <row r="56" spans="1:492" s="165" customFormat="1">
      <c r="A56" s="945"/>
      <c r="B56" s="945"/>
      <c r="C56" s="945"/>
      <c r="D56" s="945"/>
      <c r="E56" s="945"/>
      <c r="F56" s="945"/>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8"/>
      <c r="AN56" s="948"/>
      <c r="AO56" s="948"/>
      <c r="AP56" s="948"/>
      <c r="AQ56" s="948"/>
      <c r="AR56" s="948"/>
      <c r="AS56" s="948"/>
      <c r="AT56" s="948"/>
      <c r="AU56" s="948"/>
      <c r="AV56" s="948"/>
      <c r="AW56" s="951"/>
      <c r="AX56" s="951"/>
      <c r="AY56" s="951"/>
      <c r="AZ56" s="951"/>
      <c r="BA56" s="948"/>
      <c r="BB56" s="948"/>
      <c r="BC56" s="948"/>
      <c r="BD56" s="948"/>
      <c r="BE56" s="948"/>
      <c r="BF56" s="948"/>
      <c r="BG56" s="948"/>
      <c r="BH56" s="948"/>
      <c r="BI56" s="948"/>
      <c r="BJ56" s="948"/>
      <c r="BK56" s="948"/>
      <c r="BL56" s="948"/>
      <c r="BM56" s="948"/>
      <c r="BN56" s="948"/>
      <c r="BO56" s="948"/>
      <c r="BP56" s="948"/>
      <c r="BQ56" s="948"/>
      <c r="BR56" s="948"/>
      <c r="BS56" s="948"/>
      <c r="BT56" s="948"/>
      <c r="BU56" s="948"/>
      <c r="BV56" s="948"/>
      <c r="BW56" s="948"/>
      <c r="BX56" s="948"/>
      <c r="BY56" s="948"/>
      <c r="BZ56" s="948"/>
      <c r="CA56" s="945"/>
      <c r="CB56" s="945"/>
      <c r="CC56" s="945"/>
      <c r="CD56" s="945"/>
      <c r="CE56" s="945"/>
      <c r="CF56" s="945"/>
      <c r="CG56" s="945"/>
      <c r="CH56" s="945"/>
      <c r="CI56" s="945"/>
      <c r="CJ56" s="945"/>
      <c r="CK56" s="945"/>
      <c r="CL56" s="945"/>
      <c r="CM56" s="945"/>
      <c r="CN56" s="945"/>
      <c r="CO56" s="945"/>
      <c r="CP56" s="945"/>
      <c r="CQ56" s="945"/>
      <c r="CR56" s="945"/>
      <c r="CS56" s="945"/>
      <c r="CT56" s="945"/>
      <c r="CU56" s="945"/>
      <c r="CV56" s="945"/>
      <c r="CW56" s="945"/>
      <c r="CX56" s="945"/>
      <c r="CY56" s="945"/>
      <c r="CZ56" s="945"/>
      <c r="DA56" s="945"/>
      <c r="DB56" s="945"/>
      <c r="DC56" s="945"/>
      <c r="DD56" s="945"/>
      <c r="DE56" s="945"/>
      <c r="DF56" s="945"/>
      <c r="DG56" s="945"/>
      <c r="DH56" s="945"/>
      <c r="DI56" s="945"/>
      <c r="DJ56" s="945"/>
      <c r="DK56" s="945"/>
      <c r="DL56" s="945"/>
      <c r="DM56" s="945"/>
      <c r="DN56" s="945"/>
      <c r="DO56" s="945"/>
      <c r="DP56" s="945"/>
      <c r="DQ56" s="945"/>
      <c r="DR56" s="945"/>
      <c r="DS56" s="945"/>
      <c r="DT56" s="945"/>
      <c r="DU56" s="945"/>
      <c r="DV56" s="945"/>
      <c r="DW56" s="945"/>
      <c r="DX56" s="945"/>
      <c r="DY56" s="945"/>
      <c r="DZ56" s="945"/>
      <c r="EA56" s="945"/>
      <c r="EB56" s="945"/>
      <c r="EC56" s="945"/>
      <c r="ED56" s="945"/>
      <c r="EE56" s="945"/>
      <c r="EF56" s="945"/>
      <c r="EG56" s="945"/>
      <c r="EH56" s="945"/>
      <c r="EI56" s="945"/>
      <c r="EJ56" s="945"/>
      <c r="EK56" s="945"/>
      <c r="EL56" s="945"/>
      <c r="EM56" s="945"/>
      <c r="EN56" s="945"/>
      <c r="EO56" s="945"/>
      <c r="EP56" s="945"/>
      <c r="EQ56" s="945"/>
      <c r="ER56" s="945"/>
      <c r="ES56" s="945"/>
      <c r="ET56" s="945"/>
      <c r="EU56" s="945"/>
      <c r="EV56" s="945"/>
      <c r="EW56" s="945"/>
      <c r="EX56" s="945"/>
      <c r="EY56" s="945"/>
      <c r="EZ56" s="945"/>
      <c r="FA56" s="945"/>
      <c r="FB56" s="945"/>
      <c r="FC56" s="945"/>
      <c r="FD56" s="945"/>
      <c r="FE56" s="945"/>
      <c r="FF56" s="945"/>
      <c r="FG56" s="945"/>
      <c r="FH56" s="945"/>
      <c r="FI56" s="945"/>
      <c r="FJ56" s="945"/>
      <c r="FK56" s="945"/>
      <c r="FL56" s="945"/>
      <c r="FM56" s="945"/>
      <c r="FN56" s="945"/>
      <c r="FO56" s="945"/>
      <c r="FP56" s="945"/>
      <c r="FQ56" s="945"/>
      <c r="FR56" s="945"/>
      <c r="FS56" s="945"/>
      <c r="FT56" s="945"/>
      <c r="FU56" s="945"/>
      <c r="FV56" s="945"/>
      <c r="FW56" s="945"/>
      <c r="FX56" s="945"/>
      <c r="FY56" s="945"/>
      <c r="FZ56" s="945"/>
      <c r="GA56" s="945"/>
      <c r="GB56" s="945"/>
      <c r="GC56" s="945"/>
      <c r="GD56" s="945"/>
      <c r="GE56" s="945"/>
      <c r="GF56" s="945"/>
      <c r="GG56" s="945"/>
      <c r="GH56" s="945"/>
      <c r="GI56" s="945"/>
      <c r="GJ56" s="945"/>
      <c r="GK56" s="945"/>
      <c r="GL56" s="945"/>
      <c r="GM56" s="945"/>
      <c r="GN56" s="945"/>
      <c r="GO56" s="945"/>
      <c r="GP56" s="945"/>
      <c r="GQ56" s="945"/>
      <c r="GR56" s="945"/>
      <c r="GS56" s="945"/>
      <c r="GT56" s="945"/>
      <c r="GU56" s="945"/>
      <c r="GV56" s="945"/>
      <c r="GW56" s="945"/>
      <c r="GX56" s="945"/>
      <c r="GY56" s="945"/>
      <c r="GZ56" s="945"/>
      <c r="HA56" s="945"/>
      <c r="HB56" s="945"/>
      <c r="HC56" s="945"/>
      <c r="HD56" s="945"/>
      <c r="HE56" s="945"/>
      <c r="HF56" s="945"/>
      <c r="HG56" s="945"/>
      <c r="HH56" s="945"/>
      <c r="HI56" s="945"/>
      <c r="HJ56" s="945"/>
      <c r="HK56" s="945"/>
      <c r="HL56" s="945"/>
      <c r="HM56" s="945"/>
      <c r="HN56" s="945"/>
      <c r="HO56" s="945"/>
      <c r="HP56" s="945"/>
      <c r="HQ56" s="945"/>
      <c r="HR56" s="945"/>
      <c r="HS56" s="945"/>
      <c r="HT56" s="945"/>
      <c r="HU56" s="945"/>
      <c r="HV56" s="945"/>
      <c r="HW56" s="945"/>
      <c r="HX56" s="945"/>
      <c r="HY56" s="945"/>
      <c r="HZ56" s="945"/>
      <c r="IA56" s="945"/>
      <c r="IB56" s="945"/>
      <c r="IC56" s="945"/>
      <c r="ID56" s="945"/>
      <c r="IE56" s="945"/>
      <c r="IF56" s="945"/>
      <c r="IG56" s="945"/>
      <c r="IH56" s="945"/>
      <c r="II56" s="945"/>
      <c r="IJ56" s="945"/>
      <c r="IK56" s="945"/>
      <c r="IL56" s="945"/>
      <c r="IM56" s="945"/>
      <c r="IN56" s="945"/>
      <c r="IO56" s="945"/>
      <c r="IP56" s="945"/>
      <c r="IQ56" s="945"/>
      <c r="IR56" s="945"/>
      <c r="IS56" s="945"/>
      <c r="IT56" s="945"/>
      <c r="IU56" s="945"/>
      <c r="IV56" s="945"/>
      <c r="IW56" s="945"/>
      <c r="IX56" s="945"/>
      <c r="IY56" s="945"/>
      <c r="IZ56" s="945"/>
      <c r="JA56" s="945"/>
      <c r="JB56" s="945"/>
      <c r="JC56" s="945"/>
      <c r="JD56" s="945"/>
      <c r="JE56" s="945"/>
      <c r="JF56" s="945"/>
      <c r="JG56" s="945"/>
      <c r="JH56" s="945"/>
      <c r="JI56" s="945"/>
      <c r="JJ56" s="945"/>
      <c r="JK56" s="945"/>
      <c r="JL56" s="945"/>
      <c r="JM56" s="945"/>
      <c r="JN56" s="945"/>
      <c r="JO56" s="945"/>
      <c r="JP56" s="945"/>
      <c r="JQ56" s="945"/>
      <c r="JR56" s="945"/>
      <c r="JS56" s="945"/>
      <c r="JT56" s="945"/>
      <c r="JU56" s="945"/>
      <c r="JV56" s="945"/>
      <c r="JW56" s="945"/>
      <c r="JX56" s="945"/>
      <c r="JY56" s="945"/>
      <c r="JZ56" s="945"/>
      <c r="KA56" s="945"/>
      <c r="KB56" s="945"/>
      <c r="KC56" s="945"/>
      <c r="KD56" s="945"/>
      <c r="KE56" s="945"/>
      <c r="KF56" s="945"/>
      <c r="KG56" s="945"/>
      <c r="KH56" s="945"/>
      <c r="KI56" s="945"/>
      <c r="KJ56" s="945"/>
      <c r="KK56" s="945"/>
      <c r="KL56" s="945"/>
      <c r="KM56" s="945"/>
      <c r="KN56" s="945"/>
      <c r="KO56" s="945"/>
      <c r="KP56" s="945"/>
      <c r="KQ56" s="945"/>
      <c r="KR56" s="945"/>
      <c r="KS56" s="945"/>
      <c r="KT56" s="945"/>
      <c r="KU56" s="945"/>
      <c r="KV56" s="945"/>
      <c r="KW56" s="945"/>
      <c r="KX56" s="945"/>
      <c r="KY56" s="945"/>
      <c r="KZ56" s="945"/>
      <c r="LA56" s="945"/>
      <c r="LB56" s="945"/>
      <c r="LC56" s="945"/>
      <c r="LD56" s="945"/>
      <c r="LE56" s="945"/>
      <c r="LF56" s="945"/>
      <c r="LG56" s="945"/>
      <c r="LH56" s="945"/>
      <c r="LI56" s="945"/>
      <c r="LJ56" s="945"/>
      <c r="LK56" s="945"/>
      <c r="LL56" s="945"/>
      <c r="LM56" s="945"/>
      <c r="LN56" s="945"/>
      <c r="LO56" s="945"/>
      <c r="LP56" s="945"/>
      <c r="LQ56" s="945"/>
      <c r="LR56" s="945"/>
      <c r="LS56" s="945"/>
      <c r="LT56" s="945"/>
      <c r="LU56" s="945"/>
      <c r="LV56" s="945"/>
      <c r="LW56" s="945"/>
      <c r="LX56" s="945"/>
      <c r="LY56" s="945"/>
      <c r="LZ56" s="945"/>
      <c r="MA56" s="945"/>
      <c r="MB56" s="945"/>
      <c r="MC56" s="945"/>
      <c r="MD56" s="945"/>
      <c r="ME56" s="945"/>
      <c r="MF56" s="945"/>
      <c r="MG56" s="945"/>
      <c r="MH56" s="945"/>
      <c r="MI56" s="945"/>
      <c r="MJ56" s="945"/>
      <c r="MK56" s="945"/>
      <c r="ML56" s="945"/>
      <c r="MM56" s="945"/>
      <c r="MN56" s="945"/>
      <c r="MO56" s="945"/>
      <c r="MP56" s="945"/>
      <c r="MQ56" s="945"/>
      <c r="MR56" s="945"/>
      <c r="MS56" s="945"/>
      <c r="MT56" s="945"/>
      <c r="MU56" s="945"/>
      <c r="MV56" s="945"/>
      <c r="MW56" s="945"/>
      <c r="MX56" s="945"/>
      <c r="MY56" s="945"/>
      <c r="MZ56" s="945"/>
      <c r="NA56" s="945"/>
      <c r="NB56" s="945"/>
      <c r="NC56" s="945"/>
      <c r="ND56" s="945"/>
      <c r="NE56" s="945"/>
      <c r="NF56" s="945"/>
      <c r="NG56" s="945"/>
      <c r="NH56" s="945"/>
      <c r="NI56" s="945"/>
      <c r="NJ56" s="945"/>
      <c r="NK56" s="945"/>
      <c r="NL56" s="945"/>
      <c r="NM56" s="945"/>
      <c r="NN56" s="945"/>
      <c r="NO56" s="945"/>
      <c r="NP56" s="945"/>
      <c r="NQ56" s="945"/>
      <c r="NR56" s="945"/>
      <c r="NS56" s="945"/>
      <c r="NT56" s="945"/>
      <c r="NU56" s="945"/>
      <c r="NV56" s="945"/>
      <c r="NW56" s="945"/>
      <c r="NX56" s="945"/>
      <c r="NY56" s="945"/>
      <c r="NZ56" s="945"/>
      <c r="OA56" s="945"/>
      <c r="OB56" s="945"/>
      <c r="OC56" s="945"/>
      <c r="OD56" s="945"/>
      <c r="OE56" s="945"/>
      <c r="OF56" s="945"/>
      <c r="OG56" s="945"/>
      <c r="OH56" s="945"/>
      <c r="OI56" s="945"/>
      <c r="OJ56" s="945"/>
      <c r="OK56" s="945"/>
      <c r="OL56" s="945"/>
      <c r="OM56" s="945"/>
      <c r="ON56" s="945"/>
      <c r="OO56" s="945"/>
      <c r="OP56" s="945"/>
      <c r="OQ56" s="945"/>
      <c r="OR56" s="945"/>
      <c r="OS56" s="945"/>
      <c r="OT56" s="945"/>
      <c r="OU56" s="945"/>
      <c r="OV56" s="945"/>
      <c r="OW56" s="945"/>
      <c r="OX56" s="945"/>
      <c r="OY56" s="945"/>
      <c r="OZ56" s="945"/>
      <c r="PA56" s="945"/>
      <c r="PB56" s="945"/>
      <c r="PC56" s="945"/>
      <c r="PD56" s="945"/>
      <c r="PE56" s="945"/>
      <c r="PF56" s="945"/>
      <c r="PG56" s="945"/>
      <c r="PH56" s="945"/>
      <c r="PI56" s="945"/>
      <c r="PJ56" s="945"/>
      <c r="PK56" s="945"/>
      <c r="PL56" s="945"/>
      <c r="PM56" s="945"/>
      <c r="PN56" s="945"/>
      <c r="PO56" s="945"/>
      <c r="PP56" s="945"/>
      <c r="PQ56" s="945"/>
      <c r="PR56" s="945"/>
      <c r="PS56" s="945"/>
      <c r="PT56" s="945"/>
      <c r="PU56" s="945"/>
      <c r="PV56" s="945"/>
      <c r="PW56" s="945"/>
      <c r="PX56" s="945"/>
      <c r="PY56" s="945"/>
      <c r="PZ56" s="945"/>
      <c r="QA56" s="945"/>
      <c r="QB56" s="945"/>
      <c r="QC56" s="945"/>
      <c r="QD56" s="945"/>
      <c r="QE56" s="945"/>
      <c r="QF56" s="945"/>
      <c r="QG56" s="945"/>
      <c r="QH56" s="945"/>
      <c r="QI56" s="945"/>
      <c r="QJ56" s="945"/>
      <c r="QK56" s="945"/>
      <c r="QL56" s="945"/>
      <c r="QM56" s="945"/>
      <c r="QN56" s="945"/>
      <c r="QO56" s="945"/>
      <c r="QP56" s="945"/>
      <c r="QQ56" s="945"/>
      <c r="QR56" s="945"/>
      <c r="QS56" s="945"/>
      <c r="QT56" s="945"/>
      <c r="QU56" s="945"/>
      <c r="QV56" s="945"/>
      <c r="QW56" s="945"/>
      <c r="QX56" s="945"/>
      <c r="QY56" s="945"/>
      <c r="QZ56" s="945"/>
      <c r="RA56" s="945"/>
      <c r="RB56" s="945"/>
      <c r="RC56" s="945"/>
      <c r="RD56" s="945"/>
      <c r="RE56" s="945"/>
      <c r="RF56" s="945"/>
      <c r="RG56" s="945"/>
      <c r="RH56" s="945"/>
      <c r="RI56" s="945"/>
      <c r="RJ56" s="945"/>
      <c r="RK56" s="945"/>
      <c r="RL56" s="945"/>
      <c r="RM56" s="945"/>
      <c r="RN56" s="945"/>
      <c r="RO56" s="945"/>
      <c r="RP56" s="945"/>
      <c r="RQ56" s="945"/>
      <c r="RR56" s="945"/>
      <c r="RS56" s="945"/>
      <c r="RT56" s="945"/>
      <c r="RU56" s="945"/>
      <c r="RV56" s="945"/>
      <c r="RW56" s="945"/>
      <c r="RX56" s="945"/>
    </row>
    <row r="57" spans="1:492" s="165" customFormat="1">
      <c r="A57" s="945"/>
      <c r="B57" s="945"/>
      <c r="C57" s="945"/>
      <c r="D57" s="945"/>
      <c r="E57" s="945"/>
      <c r="F57" s="945"/>
      <c r="G57" s="945"/>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8"/>
      <c r="AN57" s="948"/>
      <c r="AO57" s="948"/>
      <c r="AP57" s="948"/>
      <c r="AQ57" s="948"/>
      <c r="AR57" s="948"/>
      <c r="AS57" s="948"/>
      <c r="AT57" s="948"/>
      <c r="AU57" s="948"/>
      <c r="AV57" s="948"/>
      <c r="AW57" s="948"/>
      <c r="AX57" s="948"/>
      <c r="AY57" s="948"/>
      <c r="AZ57" s="948"/>
      <c r="BA57" s="948"/>
      <c r="BB57" s="948"/>
      <c r="BC57" s="948"/>
      <c r="BD57" s="948"/>
      <c r="BE57" s="948"/>
      <c r="BF57" s="948"/>
      <c r="BG57" s="948"/>
      <c r="BH57" s="948"/>
      <c r="BI57" s="948"/>
      <c r="BJ57" s="948"/>
      <c r="BK57" s="948"/>
      <c r="BL57" s="948"/>
      <c r="BM57" s="948"/>
      <c r="BN57" s="948"/>
      <c r="BO57" s="948"/>
      <c r="BP57" s="948"/>
      <c r="BQ57" s="948"/>
      <c r="BR57" s="948"/>
      <c r="BS57" s="948"/>
      <c r="BT57" s="948"/>
      <c r="BU57" s="948"/>
      <c r="BV57" s="948"/>
      <c r="BW57" s="948"/>
      <c r="BX57" s="948"/>
      <c r="BY57" s="948"/>
      <c r="BZ57" s="948"/>
      <c r="CA57" s="945"/>
      <c r="CB57" s="945"/>
      <c r="CC57" s="945"/>
      <c r="CD57" s="945"/>
      <c r="CE57" s="945"/>
      <c r="CF57" s="945"/>
      <c r="CG57" s="945"/>
      <c r="CH57" s="945"/>
      <c r="CI57" s="945"/>
      <c r="CJ57" s="945"/>
      <c r="CK57" s="945"/>
      <c r="CL57" s="945"/>
      <c r="CM57" s="945"/>
      <c r="CN57" s="945"/>
      <c r="CO57" s="945"/>
      <c r="CP57" s="945"/>
      <c r="CQ57" s="945"/>
      <c r="CR57" s="945"/>
      <c r="CS57" s="945"/>
      <c r="CT57" s="945"/>
      <c r="CU57" s="945"/>
      <c r="CV57" s="945"/>
      <c r="CW57" s="945"/>
      <c r="CX57" s="945"/>
      <c r="CY57" s="945"/>
      <c r="CZ57" s="945"/>
      <c r="DA57" s="945"/>
      <c r="DB57" s="945"/>
      <c r="DC57" s="945"/>
      <c r="DD57" s="945"/>
      <c r="DE57" s="945"/>
      <c r="DF57" s="945"/>
      <c r="DG57" s="945"/>
      <c r="DH57" s="945"/>
      <c r="DI57" s="945"/>
      <c r="DJ57" s="945"/>
      <c r="DK57" s="945"/>
      <c r="DL57" s="945"/>
      <c r="DM57" s="945"/>
      <c r="DN57" s="945"/>
      <c r="DO57" s="945"/>
      <c r="DP57" s="945"/>
      <c r="DQ57" s="945"/>
      <c r="DR57" s="945"/>
      <c r="DS57" s="945"/>
      <c r="DT57" s="945"/>
      <c r="DU57" s="945"/>
      <c r="DV57" s="945"/>
      <c r="DW57" s="945"/>
      <c r="DX57" s="945"/>
      <c r="DY57" s="945"/>
      <c r="DZ57" s="945"/>
      <c r="EA57" s="945"/>
      <c r="EB57" s="945"/>
      <c r="EC57" s="945"/>
      <c r="ED57" s="945"/>
      <c r="EE57" s="945"/>
      <c r="EF57" s="945"/>
      <c r="EG57" s="945"/>
      <c r="EH57" s="945"/>
      <c r="EI57" s="945"/>
      <c r="EJ57" s="945"/>
      <c r="EK57" s="945"/>
      <c r="EL57" s="945"/>
      <c r="EM57" s="945"/>
      <c r="EN57" s="945"/>
      <c r="EO57" s="945"/>
      <c r="EP57" s="945"/>
      <c r="EQ57" s="945"/>
      <c r="ER57" s="945"/>
      <c r="ES57" s="945"/>
      <c r="ET57" s="945"/>
      <c r="EU57" s="945"/>
      <c r="EV57" s="945"/>
      <c r="EW57" s="945"/>
      <c r="EX57" s="945"/>
      <c r="EY57" s="945"/>
      <c r="EZ57" s="945"/>
      <c r="FA57" s="945"/>
      <c r="FB57" s="945"/>
      <c r="FC57" s="945"/>
      <c r="FD57" s="945"/>
      <c r="FE57" s="945"/>
      <c r="FF57" s="945"/>
      <c r="FG57" s="945"/>
      <c r="FH57" s="945"/>
      <c r="FI57" s="945"/>
      <c r="FJ57" s="945"/>
      <c r="FK57" s="945"/>
      <c r="FL57" s="945"/>
      <c r="FM57" s="945"/>
      <c r="FN57" s="945"/>
      <c r="FO57" s="945"/>
      <c r="FP57" s="945"/>
      <c r="FQ57" s="945"/>
      <c r="FR57" s="945"/>
      <c r="FS57" s="945"/>
      <c r="FT57" s="945"/>
      <c r="FU57" s="945"/>
      <c r="FV57" s="945"/>
      <c r="FW57" s="945"/>
      <c r="FX57" s="945"/>
      <c r="FY57" s="945"/>
      <c r="FZ57" s="945"/>
      <c r="GA57" s="945"/>
      <c r="GB57" s="945"/>
      <c r="GC57" s="945"/>
      <c r="GD57" s="945"/>
      <c r="GE57" s="945"/>
      <c r="GF57" s="945"/>
      <c r="GG57" s="945"/>
      <c r="GH57" s="945"/>
      <c r="GI57" s="945"/>
      <c r="GJ57" s="945"/>
      <c r="GK57" s="945"/>
      <c r="GL57" s="945"/>
      <c r="GM57" s="945"/>
      <c r="GN57" s="945"/>
      <c r="GO57" s="945"/>
      <c r="GP57" s="945"/>
      <c r="GQ57" s="945"/>
      <c r="GR57" s="945"/>
      <c r="GS57" s="945"/>
      <c r="GT57" s="945"/>
      <c r="GU57" s="945"/>
      <c r="GV57" s="945"/>
      <c r="GW57" s="945"/>
      <c r="GX57" s="945"/>
      <c r="GY57" s="945"/>
      <c r="GZ57" s="945"/>
      <c r="HA57" s="945"/>
      <c r="HB57" s="945"/>
      <c r="HC57" s="945"/>
      <c r="HD57" s="945"/>
      <c r="HE57" s="945"/>
      <c r="HF57" s="945"/>
      <c r="HG57" s="945"/>
      <c r="HH57" s="945"/>
      <c r="HI57" s="945"/>
      <c r="HJ57" s="945"/>
      <c r="HK57" s="945"/>
      <c r="HL57" s="945"/>
      <c r="HM57" s="945"/>
      <c r="HN57" s="945"/>
      <c r="HO57" s="945"/>
      <c r="HP57" s="945"/>
      <c r="HQ57" s="945"/>
      <c r="HR57" s="945"/>
      <c r="HS57" s="945"/>
      <c r="HT57" s="945"/>
      <c r="HU57" s="945"/>
      <c r="HV57" s="945"/>
      <c r="HW57" s="945"/>
      <c r="HX57" s="945"/>
      <c r="HY57" s="945"/>
      <c r="HZ57" s="945"/>
      <c r="IA57" s="945"/>
      <c r="IB57" s="945"/>
      <c r="IC57" s="945"/>
      <c r="ID57" s="945"/>
      <c r="IE57" s="945"/>
      <c r="IF57" s="945"/>
      <c r="IG57" s="945"/>
      <c r="IH57" s="945"/>
      <c r="II57" s="945"/>
      <c r="IJ57" s="945"/>
      <c r="IK57" s="945"/>
      <c r="IL57" s="945"/>
      <c r="IM57" s="945"/>
      <c r="IN57" s="945"/>
      <c r="IO57" s="945"/>
      <c r="IP57" s="945"/>
      <c r="IQ57" s="945"/>
      <c r="IR57" s="945"/>
      <c r="IS57" s="945"/>
      <c r="IT57" s="945"/>
      <c r="IU57" s="945"/>
      <c r="IV57" s="945"/>
      <c r="IW57" s="945"/>
      <c r="IX57" s="945"/>
      <c r="IY57" s="945"/>
      <c r="IZ57" s="945"/>
      <c r="JA57" s="945"/>
      <c r="JB57" s="945"/>
      <c r="JC57" s="945"/>
      <c r="JD57" s="945"/>
      <c r="JE57" s="945"/>
      <c r="JF57" s="945"/>
      <c r="JG57" s="945"/>
      <c r="JH57" s="945"/>
      <c r="JI57" s="945"/>
      <c r="JJ57" s="945"/>
      <c r="JK57" s="945"/>
      <c r="JL57" s="945"/>
      <c r="JM57" s="945"/>
      <c r="JN57" s="945"/>
      <c r="JO57" s="945"/>
      <c r="JP57" s="945"/>
      <c r="JQ57" s="945"/>
      <c r="JR57" s="945"/>
      <c r="JS57" s="945"/>
      <c r="JT57" s="945"/>
      <c r="JU57" s="945"/>
      <c r="JV57" s="945"/>
      <c r="JW57" s="945"/>
      <c r="JX57" s="945"/>
      <c r="JY57" s="945"/>
      <c r="JZ57" s="945"/>
      <c r="KA57" s="945"/>
      <c r="KB57" s="945"/>
      <c r="KC57" s="945"/>
      <c r="KD57" s="945"/>
      <c r="KE57" s="945"/>
      <c r="KF57" s="945"/>
      <c r="KG57" s="945"/>
      <c r="KH57" s="945"/>
      <c r="KI57" s="945"/>
      <c r="KJ57" s="945"/>
      <c r="KK57" s="945"/>
      <c r="KL57" s="945"/>
      <c r="KM57" s="945"/>
      <c r="KN57" s="945"/>
      <c r="KO57" s="945"/>
      <c r="KP57" s="945"/>
      <c r="KQ57" s="945"/>
      <c r="KR57" s="945"/>
      <c r="KS57" s="945"/>
      <c r="KT57" s="945"/>
      <c r="KU57" s="945"/>
      <c r="KV57" s="945"/>
      <c r="KW57" s="945"/>
      <c r="KX57" s="945"/>
      <c r="KY57" s="945"/>
      <c r="KZ57" s="945"/>
      <c r="LA57" s="945"/>
      <c r="LB57" s="945"/>
      <c r="LC57" s="945"/>
      <c r="LD57" s="945"/>
      <c r="LE57" s="945"/>
      <c r="LF57" s="945"/>
      <c r="LG57" s="945"/>
      <c r="LH57" s="945"/>
      <c r="LI57" s="945"/>
      <c r="LJ57" s="945"/>
      <c r="LK57" s="945"/>
      <c r="LL57" s="945"/>
      <c r="LM57" s="945"/>
      <c r="LN57" s="945"/>
      <c r="LO57" s="945"/>
      <c r="LP57" s="945"/>
      <c r="LQ57" s="945"/>
      <c r="LR57" s="945"/>
      <c r="LS57" s="945"/>
      <c r="LT57" s="945"/>
      <c r="LU57" s="945"/>
      <c r="LV57" s="945"/>
      <c r="LW57" s="945"/>
      <c r="LX57" s="945"/>
      <c r="LY57" s="945"/>
      <c r="LZ57" s="945"/>
      <c r="MA57" s="945"/>
      <c r="MB57" s="945"/>
      <c r="MC57" s="945"/>
      <c r="MD57" s="945"/>
      <c r="ME57" s="945"/>
      <c r="MF57" s="945"/>
      <c r="MG57" s="945"/>
      <c r="MH57" s="945"/>
      <c r="MI57" s="945"/>
      <c r="MJ57" s="945"/>
      <c r="MK57" s="945"/>
      <c r="ML57" s="945"/>
      <c r="MM57" s="945"/>
      <c r="MN57" s="945"/>
      <c r="MO57" s="945"/>
      <c r="MP57" s="945"/>
      <c r="MQ57" s="945"/>
      <c r="MR57" s="945"/>
      <c r="MS57" s="945"/>
      <c r="MT57" s="945"/>
      <c r="MU57" s="945"/>
      <c r="MV57" s="945"/>
      <c r="MW57" s="945"/>
      <c r="MX57" s="945"/>
      <c r="MY57" s="945"/>
      <c r="MZ57" s="945"/>
      <c r="NA57" s="945"/>
      <c r="NB57" s="945"/>
      <c r="NC57" s="945"/>
      <c r="ND57" s="945"/>
      <c r="NE57" s="945"/>
      <c r="NF57" s="945"/>
      <c r="NG57" s="945"/>
      <c r="NH57" s="945"/>
      <c r="NI57" s="945"/>
      <c r="NJ57" s="945"/>
      <c r="NK57" s="945"/>
      <c r="NL57" s="945"/>
      <c r="NM57" s="945"/>
      <c r="NN57" s="945"/>
      <c r="NO57" s="945"/>
      <c r="NP57" s="945"/>
      <c r="NQ57" s="945"/>
      <c r="NR57" s="945"/>
      <c r="NS57" s="945"/>
      <c r="NT57" s="945"/>
      <c r="NU57" s="945"/>
      <c r="NV57" s="945"/>
      <c r="NW57" s="945"/>
      <c r="NX57" s="945"/>
      <c r="NY57" s="945"/>
      <c r="NZ57" s="945"/>
      <c r="OA57" s="945"/>
      <c r="OB57" s="945"/>
      <c r="OC57" s="945"/>
      <c r="OD57" s="945"/>
      <c r="OE57" s="945"/>
      <c r="OF57" s="945"/>
      <c r="OG57" s="945"/>
      <c r="OH57" s="945"/>
      <c r="OI57" s="945"/>
      <c r="OJ57" s="945"/>
      <c r="OK57" s="945"/>
      <c r="OL57" s="945"/>
      <c r="OM57" s="945"/>
      <c r="ON57" s="945"/>
      <c r="OO57" s="945"/>
      <c r="OP57" s="945"/>
      <c r="OQ57" s="945"/>
      <c r="OR57" s="945"/>
      <c r="OS57" s="945"/>
      <c r="OT57" s="945"/>
      <c r="OU57" s="945"/>
      <c r="OV57" s="945"/>
      <c r="OW57" s="945"/>
      <c r="OX57" s="945"/>
      <c r="OY57" s="945"/>
      <c r="OZ57" s="945"/>
      <c r="PA57" s="945"/>
      <c r="PB57" s="945"/>
      <c r="PC57" s="945"/>
      <c r="PD57" s="945"/>
      <c r="PE57" s="945"/>
      <c r="PF57" s="945"/>
      <c r="PG57" s="945"/>
      <c r="PH57" s="945"/>
      <c r="PI57" s="945"/>
      <c r="PJ57" s="945"/>
      <c r="PK57" s="945"/>
      <c r="PL57" s="945"/>
      <c r="PM57" s="945"/>
      <c r="PN57" s="945"/>
      <c r="PO57" s="945"/>
      <c r="PP57" s="945"/>
      <c r="PQ57" s="945"/>
      <c r="PR57" s="945"/>
      <c r="PS57" s="945"/>
      <c r="PT57" s="945"/>
      <c r="PU57" s="945"/>
      <c r="PV57" s="945"/>
      <c r="PW57" s="945"/>
      <c r="PX57" s="945"/>
      <c r="PY57" s="945"/>
      <c r="PZ57" s="945"/>
      <c r="QA57" s="945"/>
      <c r="QB57" s="945"/>
      <c r="QC57" s="945"/>
      <c r="QD57" s="945"/>
      <c r="QE57" s="945"/>
      <c r="QF57" s="945"/>
      <c r="QG57" s="945"/>
      <c r="QH57" s="945"/>
      <c r="QI57" s="945"/>
      <c r="QJ57" s="945"/>
      <c r="QK57" s="945"/>
      <c r="QL57" s="945"/>
      <c r="QM57" s="945"/>
      <c r="QN57" s="945"/>
      <c r="QO57" s="945"/>
      <c r="QP57" s="945"/>
      <c r="QQ57" s="945"/>
      <c r="QR57" s="945"/>
      <c r="QS57" s="945"/>
      <c r="QT57" s="945"/>
      <c r="QU57" s="945"/>
      <c r="QV57" s="945"/>
      <c r="QW57" s="945"/>
      <c r="QX57" s="945"/>
      <c r="QY57" s="945"/>
      <c r="QZ57" s="945"/>
      <c r="RA57" s="945"/>
      <c r="RB57" s="945"/>
      <c r="RC57" s="945"/>
      <c r="RD57" s="945"/>
      <c r="RE57" s="945"/>
      <c r="RF57" s="945"/>
      <c r="RG57" s="945"/>
      <c r="RH57" s="945"/>
      <c r="RI57" s="945"/>
      <c r="RJ57" s="945"/>
      <c r="RK57" s="945"/>
      <c r="RL57" s="945"/>
      <c r="RM57" s="945"/>
      <c r="RN57" s="945"/>
      <c r="RO57" s="945"/>
      <c r="RP57" s="945"/>
      <c r="RQ57" s="945"/>
      <c r="RR57" s="945"/>
      <c r="RS57" s="945"/>
      <c r="RT57" s="945"/>
      <c r="RU57" s="945"/>
      <c r="RV57" s="945"/>
      <c r="RW57" s="945"/>
      <c r="RX57" s="945"/>
    </row>
    <row r="58" spans="1:492" s="165" customFormat="1">
      <c r="A58" s="945"/>
      <c r="B58" s="945"/>
      <c r="C58" s="945"/>
      <c r="D58" s="945"/>
      <c r="E58" s="945"/>
      <c r="F58" s="945"/>
      <c r="G58" s="945"/>
      <c r="H58" s="945"/>
      <c r="I58" s="945"/>
      <c r="J58" s="945"/>
      <c r="K58" s="945"/>
      <c r="L58" s="945"/>
      <c r="M58" s="945"/>
      <c r="N58" s="945"/>
      <c r="O58" s="945"/>
      <c r="P58" s="945"/>
      <c r="Q58" s="945"/>
      <c r="R58" s="945"/>
      <c r="S58" s="945"/>
      <c r="T58" s="945"/>
      <c r="U58" s="945"/>
      <c r="V58" s="945"/>
      <c r="W58" s="945"/>
      <c r="X58" s="945"/>
      <c r="Y58" s="945"/>
      <c r="Z58" s="945"/>
      <c r="AA58" s="945"/>
      <c r="AB58" s="945"/>
      <c r="AC58" s="945"/>
      <c r="AD58" s="945"/>
      <c r="AE58" s="945"/>
      <c r="AF58" s="945"/>
      <c r="AG58" s="945"/>
      <c r="AH58" s="945"/>
      <c r="AI58" s="945"/>
      <c r="AJ58" s="945"/>
      <c r="AK58" s="945"/>
      <c r="AL58" s="945"/>
      <c r="AM58" s="948"/>
      <c r="AN58" s="948"/>
      <c r="AO58" s="948"/>
      <c r="AP58" s="948"/>
      <c r="AQ58" s="948"/>
      <c r="AR58" s="948"/>
      <c r="AS58" s="948"/>
      <c r="AT58" s="948"/>
      <c r="AU58" s="948"/>
      <c r="AV58" s="948"/>
      <c r="AW58" s="948"/>
      <c r="AX58" s="948"/>
      <c r="AY58" s="948"/>
      <c r="AZ58" s="948"/>
      <c r="BA58" s="948"/>
      <c r="BB58" s="948"/>
      <c r="BC58" s="948"/>
      <c r="BD58" s="948"/>
      <c r="BE58" s="948"/>
      <c r="BF58" s="948"/>
      <c r="BG58" s="948"/>
      <c r="BH58" s="948"/>
      <c r="BI58" s="948"/>
      <c r="BJ58" s="948"/>
      <c r="BK58" s="948"/>
      <c r="BL58" s="948"/>
      <c r="BM58" s="948"/>
      <c r="BN58" s="948"/>
      <c r="BO58" s="948"/>
      <c r="BP58" s="948"/>
      <c r="BQ58" s="948"/>
      <c r="BR58" s="948"/>
      <c r="BS58" s="948"/>
      <c r="BT58" s="948"/>
      <c r="BU58" s="948"/>
      <c r="BV58" s="948"/>
      <c r="BW58" s="948"/>
      <c r="BX58" s="948"/>
      <c r="BY58" s="948"/>
      <c r="BZ58" s="948"/>
      <c r="CA58" s="945"/>
      <c r="CB58" s="945"/>
      <c r="CC58" s="945"/>
      <c r="CD58" s="945"/>
      <c r="CE58" s="945"/>
      <c r="CF58" s="945"/>
      <c r="CG58" s="945"/>
      <c r="CH58" s="945"/>
      <c r="CI58" s="945"/>
      <c r="CJ58" s="945"/>
      <c r="CK58" s="945"/>
      <c r="CL58" s="945"/>
      <c r="CM58" s="945"/>
      <c r="CN58" s="945"/>
      <c r="CO58" s="945"/>
      <c r="CP58" s="945"/>
      <c r="CQ58" s="945"/>
      <c r="CR58" s="945"/>
      <c r="CS58" s="945"/>
      <c r="CT58" s="945"/>
      <c r="CU58" s="945"/>
      <c r="CV58" s="945"/>
      <c r="CW58" s="945"/>
      <c r="CX58" s="945"/>
      <c r="CY58" s="945"/>
      <c r="CZ58" s="945"/>
      <c r="DA58" s="945"/>
      <c r="DB58" s="945"/>
      <c r="DC58" s="945"/>
      <c r="DD58" s="945"/>
      <c r="DE58" s="945"/>
      <c r="DF58" s="945"/>
      <c r="DG58" s="945"/>
      <c r="DH58" s="945"/>
      <c r="DI58" s="945"/>
      <c r="DJ58" s="945"/>
      <c r="DK58" s="945"/>
      <c r="DL58" s="945"/>
      <c r="DM58" s="945"/>
      <c r="DN58" s="945"/>
      <c r="DO58" s="945"/>
      <c r="DP58" s="945"/>
      <c r="DQ58" s="945"/>
      <c r="DR58" s="945"/>
      <c r="DS58" s="945"/>
      <c r="DT58" s="945"/>
      <c r="DU58" s="945"/>
      <c r="DV58" s="945"/>
      <c r="DW58" s="945"/>
      <c r="DX58" s="945"/>
      <c r="DY58" s="945"/>
      <c r="DZ58" s="945"/>
      <c r="EA58" s="945"/>
      <c r="EB58" s="945"/>
      <c r="EC58" s="945"/>
      <c r="ED58" s="945"/>
      <c r="EE58" s="945"/>
      <c r="EF58" s="945"/>
      <c r="EG58" s="945"/>
      <c r="EH58" s="945"/>
      <c r="EI58" s="945"/>
      <c r="EJ58" s="945"/>
      <c r="EK58" s="945"/>
      <c r="EL58" s="945"/>
      <c r="EM58" s="945"/>
      <c r="EN58" s="945"/>
      <c r="EO58" s="945"/>
      <c r="EP58" s="945"/>
      <c r="EQ58" s="945"/>
      <c r="ER58" s="945"/>
      <c r="ES58" s="945"/>
      <c r="ET58" s="945"/>
      <c r="EU58" s="945"/>
      <c r="EV58" s="945"/>
      <c r="EW58" s="945"/>
      <c r="EX58" s="945"/>
      <c r="EY58" s="945"/>
      <c r="EZ58" s="945"/>
      <c r="FA58" s="945"/>
      <c r="FB58" s="945"/>
      <c r="FC58" s="945"/>
      <c r="FD58" s="945"/>
      <c r="FE58" s="945"/>
      <c r="FF58" s="945"/>
      <c r="FG58" s="945"/>
      <c r="FH58" s="945"/>
      <c r="FI58" s="945"/>
      <c r="FJ58" s="945"/>
      <c r="FK58" s="945"/>
      <c r="FL58" s="945"/>
      <c r="FM58" s="945"/>
      <c r="FN58" s="945"/>
      <c r="FO58" s="945"/>
      <c r="FP58" s="945"/>
      <c r="FQ58" s="945"/>
      <c r="FR58" s="945"/>
      <c r="FS58" s="945"/>
      <c r="FT58" s="945"/>
      <c r="FU58" s="945"/>
      <c r="FV58" s="945"/>
      <c r="FW58" s="945"/>
      <c r="FX58" s="945"/>
      <c r="FY58" s="945"/>
      <c r="FZ58" s="945"/>
      <c r="GA58" s="945"/>
      <c r="GB58" s="945"/>
      <c r="GC58" s="945"/>
      <c r="GD58" s="945"/>
      <c r="GE58" s="945"/>
      <c r="GF58" s="945"/>
      <c r="GG58" s="945"/>
      <c r="GH58" s="945"/>
      <c r="GI58" s="945"/>
      <c r="GJ58" s="945"/>
      <c r="GK58" s="945"/>
      <c r="GL58" s="945"/>
      <c r="GM58" s="945"/>
      <c r="GN58" s="945"/>
      <c r="GO58" s="945"/>
      <c r="GP58" s="945"/>
      <c r="GQ58" s="945"/>
      <c r="GR58" s="945"/>
      <c r="GS58" s="945"/>
      <c r="GT58" s="945"/>
      <c r="GU58" s="945"/>
      <c r="GV58" s="945"/>
      <c r="GW58" s="945"/>
      <c r="GX58" s="945"/>
      <c r="GY58" s="945"/>
      <c r="GZ58" s="945"/>
      <c r="HA58" s="945"/>
      <c r="HB58" s="945"/>
      <c r="HC58" s="945"/>
      <c r="HD58" s="945"/>
      <c r="HE58" s="945"/>
      <c r="HF58" s="945"/>
      <c r="HG58" s="945"/>
      <c r="HH58" s="945"/>
      <c r="HI58" s="945"/>
      <c r="HJ58" s="945"/>
      <c r="HK58" s="945"/>
      <c r="HL58" s="945"/>
      <c r="HM58" s="945"/>
      <c r="HN58" s="945"/>
      <c r="HO58" s="945"/>
      <c r="HP58" s="945"/>
      <c r="HQ58" s="945"/>
      <c r="HR58" s="945"/>
      <c r="HS58" s="945"/>
      <c r="HT58" s="945"/>
      <c r="HU58" s="945"/>
      <c r="HV58" s="945"/>
      <c r="HW58" s="945"/>
      <c r="HX58" s="945"/>
      <c r="HY58" s="945"/>
      <c r="HZ58" s="945"/>
      <c r="IA58" s="945"/>
      <c r="IB58" s="945"/>
      <c r="IC58" s="945"/>
      <c r="ID58" s="945"/>
      <c r="IE58" s="945"/>
      <c r="IF58" s="945"/>
      <c r="IG58" s="945"/>
      <c r="IH58" s="945"/>
      <c r="II58" s="945"/>
      <c r="IJ58" s="945"/>
      <c r="IK58" s="945"/>
      <c r="IL58" s="945"/>
      <c r="IM58" s="945"/>
      <c r="IN58" s="945"/>
      <c r="IO58" s="945"/>
      <c r="IP58" s="945"/>
      <c r="IQ58" s="945"/>
      <c r="IR58" s="945"/>
      <c r="IS58" s="945"/>
      <c r="IT58" s="945"/>
      <c r="IU58" s="945"/>
      <c r="IV58" s="945"/>
      <c r="IW58" s="945"/>
      <c r="IX58" s="945"/>
      <c r="IY58" s="945"/>
      <c r="IZ58" s="945"/>
      <c r="JA58" s="945"/>
      <c r="JB58" s="945"/>
      <c r="JC58" s="945"/>
      <c r="JD58" s="945"/>
      <c r="JE58" s="945"/>
      <c r="JF58" s="945"/>
      <c r="JG58" s="945"/>
      <c r="JH58" s="945"/>
      <c r="JI58" s="945"/>
      <c r="JJ58" s="945"/>
      <c r="JK58" s="945"/>
      <c r="JL58" s="945"/>
      <c r="JM58" s="945"/>
      <c r="JN58" s="945"/>
      <c r="JO58" s="945"/>
      <c r="JP58" s="945"/>
      <c r="JQ58" s="945"/>
      <c r="JR58" s="945"/>
      <c r="JS58" s="945"/>
      <c r="JT58" s="945"/>
      <c r="JU58" s="945"/>
      <c r="JV58" s="945"/>
      <c r="JW58" s="945"/>
      <c r="JX58" s="945"/>
      <c r="JY58" s="945"/>
      <c r="JZ58" s="945"/>
      <c r="KA58" s="945"/>
      <c r="KB58" s="945"/>
      <c r="KC58" s="945"/>
      <c r="KD58" s="945"/>
      <c r="KE58" s="945"/>
      <c r="KF58" s="945"/>
      <c r="KG58" s="945"/>
      <c r="KH58" s="945"/>
      <c r="KI58" s="945"/>
      <c r="KJ58" s="945"/>
      <c r="KK58" s="945"/>
      <c r="KL58" s="945"/>
      <c r="KM58" s="945"/>
      <c r="KN58" s="945"/>
      <c r="KO58" s="945"/>
      <c r="KP58" s="945"/>
      <c r="KQ58" s="945"/>
      <c r="KR58" s="945"/>
      <c r="KS58" s="945"/>
      <c r="KT58" s="945"/>
      <c r="KU58" s="945"/>
      <c r="KV58" s="945"/>
      <c r="KW58" s="945"/>
      <c r="KX58" s="945"/>
      <c r="KY58" s="945"/>
      <c r="KZ58" s="945"/>
      <c r="LA58" s="945"/>
      <c r="LB58" s="945"/>
      <c r="LC58" s="945"/>
      <c r="LD58" s="945"/>
      <c r="LE58" s="945"/>
      <c r="LF58" s="945"/>
      <c r="LG58" s="945"/>
      <c r="LH58" s="945"/>
      <c r="LI58" s="945"/>
      <c r="LJ58" s="945"/>
      <c r="LK58" s="945"/>
      <c r="LL58" s="945"/>
      <c r="LM58" s="945"/>
      <c r="LN58" s="945"/>
      <c r="LO58" s="945"/>
      <c r="LP58" s="945"/>
      <c r="LQ58" s="945"/>
      <c r="LR58" s="945"/>
      <c r="LS58" s="945"/>
      <c r="LT58" s="945"/>
      <c r="LU58" s="945"/>
      <c r="LV58" s="945"/>
      <c r="LW58" s="945"/>
      <c r="LX58" s="945"/>
      <c r="LY58" s="945"/>
      <c r="LZ58" s="945"/>
      <c r="MA58" s="945"/>
      <c r="MB58" s="945"/>
      <c r="MC58" s="945"/>
      <c r="MD58" s="945"/>
      <c r="ME58" s="945"/>
      <c r="MF58" s="945"/>
      <c r="MG58" s="945"/>
      <c r="MH58" s="945"/>
      <c r="MI58" s="945"/>
      <c r="MJ58" s="945"/>
      <c r="MK58" s="945"/>
      <c r="ML58" s="945"/>
      <c r="MM58" s="945"/>
      <c r="MN58" s="945"/>
      <c r="MO58" s="945"/>
      <c r="MP58" s="945"/>
      <c r="MQ58" s="945"/>
      <c r="MR58" s="945"/>
      <c r="MS58" s="945"/>
      <c r="MT58" s="945"/>
      <c r="MU58" s="945"/>
      <c r="MV58" s="945"/>
      <c r="MW58" s="945"/>
      <c r="MX58" s="945"/>
      <c r="MY58" s="945"/>
      <c r="MZ58" s="945"/>
      <c r="NA58" s="945"/>
      <c r="NB58" s="945"/>
      <c r="NC58" s="945"/>
      <c r="ND58" s="945"/>
      <c r="NE58" s="945"/>
      <c r="NF58" s="945"/>
      <c r="NG58" s="945"/>
      <c r="NH58" s="945"/>
      <c r="NI58" s="945"/>
      <c r="NJ58" s="945"/>
      <c r="NK58" s="945"/>
      <c r="NL58" s="945"/>
      <c r="NM58" s="945"/>
      <c r="NN58" s="945"/>
      <c r="NO58" s="945"/>
      <c r="NP58" s="945"/>
      <c r="NQ58" s="945"/>
      <c r="NR58" s="945"/>
      <c r="NS58" s="945"/>
      <c r="NT58" s="945"/>
      <c r="NU58" s="945"/>
      <c r="NV58" s="945"/>
      <c r="NW58" s="945"/>
      <c r="NX58" s="945"/>
      <c r="NY58" s="945"/>
      <c r="NZ58" s="945"/>
      <c r="OA58" s="945"/>
      <c r="OB58" s="945"/>
      <c r="OC58" s="945"/>
      <c r="OD58" s="945"/>
      <c r="OE58" s="945"/>
      <c r="OF58" s="945"/>
      <c r="OG58" s="945"/>
      <c r="OH58" s="945"/>
      <c r="OI58" s="945"/>
      <c r="OJ58" s="945"/>
      <c r="OK58" s="945"/>
      <c r="OL58" s="945"/>
      <c r="OM58" s="945"/>
      <c r="ON58" s="945"/>
      <c r="OO58" s="945"/>
      <c r="OP58" s="945"/>
      <c r="OQ58" s="945"/>
      <c r="OR58" s="945"/>
      <c r="OS58" s="945"/>
      <c r="OT58" s="945"/>
      <c r="OU58" s="945"/>
      <c r="OV58" s="945"/>
      <c r="OW58" s="945"/>
      <c r="OX58" s="945"/>
      <c r="OY58" s="945"/>
      <c r="OZ58" s="945"/>
      <c r="PA58" s="945"/>
      <c r="PB58" s="945"/>
      <c r="PC58" s="945"/>
      <c r="PD58" s="945"/>
      <c r="PE58" s="945"/>
      <c r="PF58" s="945"/>
      <c r="PG58" s="945"/>
      <c r="PH58" s="945"/>
      <c r="PI58" s="945"/>
      <c r="PJ58" s="945"/>
      <c r="PK58" s="945"/>
      <c r="PL58" s="945"/>
      <c r="PM58" s="945"/>
      <c r="PN58" s="945"/>
      <c r="PO58" s="945"/>
      <c r="PP58" s="945"/>
      <c r="PQ58" s="945"/>
      <c r="PR58" s="945"/>
      <c r="PS58" s="945"/>
      <c r="PT58" s="945"/>
      <c r="PU58" s="945"/>
      <c r="PV58" s="945"/>
      <c r="PW58" s="945"/>
      <c r="PX58" s="945"/>
      <c r="PY58" s="945"/>
      <c r="PZ58" s="945"/>
      <c r="QA58" s="945"/>
      <c r="QB58" s="945"/>
      <c r="QC58" s="945"/>
      <c r="QD58" s="945"/>
      <c r="QE58" s="945"/>
      <c r="QF58" s="945"/>
      <c r="QG58" s="945"/>
      <c r="QH58" s="945"/>
      <c r="QI58" s="945"/>
      <c r="QJ58" s="945"/>
      <c r="QK58" s="945"/>
      <c r="QL58" s="945"/>
      <c r="QM58" s="945"/>
      <c r="QN58" s="945"/>
      <c r="QO58" s="945"/>
      <c r="QP58" s="945"/>
      <c r="QQ58" s="945"/>
      <c r="QR58" s="945"/>
      <c r="QS58" s="945"/>
      <c r="QT58" s="945"/>
      <c r="QU58" s="945"/>
      <c r="QV58" s="945"/>
      <c r="QW58" s="945"/>
      <c r="QX58" s="945"/>
      <c r="QY58" s="945"/>
      <c r="QZ58" s="945"/>
      <c r="RA58" s="945"/>
      <c r="RB58" s="945"/>
      <c r="RC58" s="945"/>
      <c r="RD58" s="945"/>
      <c r="RE58" s="945"/>
      <c r="RF58" s="945"/>
      <c r="RG58" s="945"/>
      <c r="RH58" s="945"/>
      <c r="RI58" s="945"/>
      <c r="RJ58" s="945"/>
      <c r="RK58" s="945"/>
      <c r="RL58" s="945"/>
      <c r="RM58" s="945"/>
      <c r="RN58" s="945"/>
      <c r="RO58" s="945"/>
      <c r="RP58" s="945"/>
      <c r="RQ58" s="945"/>
      <c r="RR58" s="945"/>
      <c r="RS58" s="945"/>
      <c r="RT58" s="945"/>
      <c r="RU58" s="945"/>
      <c r="RV58" s="945"/>
      <c r="RW58" s="945"/>
      <c r="RX58" s="945"/>
    </row>
    <row r="59" spans="1:492" s="165" customFormat="1">
      <c r="A59" s="945"/>
      <c r="B59" s="945"/>
      <c r="C59" s="945"/>
      <c r="D59" s="945"/>
      <c r="E59" s="945"/>
      <c r="F59" s="945"/>
      <c r="G59" s="945"/>
      <c r="H59" s="945"/>
      <c r="I59" s="945"/>
      <c r="J59" s="945"/>
      <c r="K59" s="945"/>
      <c r="L59" s="945"/>
      <c r="M59" s="945"/>
      <c r="N59" s="945"/>
      <c r="O59" s="945"/>
      <c r="P59" s="945"/>
      <c r="Q59" s="945"/>
      <c r="R59" s="945"/>
      <c r="S59" s="945"/>
      <c r="T59" s="945"/>
      <c r="U59" s="945"/>
      <c r="V59" s="945"/>
      <c r="W59" s="945"/>
      <c r="X59" s="945"/>
      <c r="Y59" s="945"/>
      <c r="Z59" s="945"/>
      <c r="AA59" s="945"/>
      <c r="AB59" s="945"/>
      <c r="AC59" s="945"/>
      <c r="AD59" s="945"/>
      <c r="AE59" s="945"/>
      <c r="AF59" s="945"/>
      <c r="AG59" s="945"/>
      <c r="AH59" s="945"/>
      <c r="AI59" s="945"/>
      <c r="AJ59" s="945"/>
      <c r="AK59" s="945"/>
      <c r="AL59" s="945"/>
      <c r="AM59" s="948"/>
      <c r="AN59" s="948"/>
      <c r="AO59" s="948"/>
      <c r="AP59" s="948"/>
      <c r="AQ59" s="948"/>
      <c r="AR59" s="948"/>
      <c r="AS59" s="948"/>
      <c r="AT59" s="948"/>
      <c r="AU59" s="948"/>
      <c r="AV59" s="948"/>
      <c r="AW59" s="948"/>
      <c r="AX59" s="948"/>
      <c r="AY59" s="948"/>
      <c r="AZ59" s="948"/>
      <c r="BA59" s="948"/>
      <c r="BB59" s="948"/>
      <c r="BC59" s="948"/>
      <c r="BD59" s="948"/>
      <c r="BE59" s="948"/>
      <c r="BF59" s="948"/>
      <c r="BG59" s="948"/>
      <c r="BH59" s="948"/>
      <c r="BI59" s="948"/>
      <c r="BJ59" s="948"/>
      <c r="BK59" s="948"/>
      <c r="BL59" s="948"/>
      <c r="BM59" s="948"/>
      <c r="BN59" s="948"/>
      <c r="BO59" s="948"/>
      <c r="BP59" s="948"/>
      <c r="BQ59" s="948"/>
      <c r="BR59" s="948"/>
      <c r="BS59" s="948"/>
      <c r="BT59" s="948"/>
      <c r="BU59" s="948"/>
      <c r="BV59" s="948"/>
      <c r="BW59" s="948"/>
      <c r="BX59" s="948"/>
      <c r="BY59" s="948"/>
      <c r="BZ59" s="948"/>
      <c r="CA59" s="945"/>
      <c r="CB59" s="945"/>
      <c r="CC59" s="945"/>
      <c r="CD59" s="945"/>
      <c r="CE59" s="945"/>
      <c r="CF59" s="945"/>
      <c r="CG59" s="945"/>
      <c r="CH59" s="945"/>
      <c r="CI59" s="945"/>
      <c r="CJ59" s="945"/>
      <c r="CK59" s="945"/>
      <c r="CL59" s="945"/>
      <c r="CM59" s="945"/>
      <c r="CN59" s="945"/>
      <c r="CO59" s="945"/>
      <c r="CP59" s="945"/>
      <c r="CQ59" s="945"/>
      <c r="CR59" s="945"/>
      <c r="CS59" s="945"/>
      <c r="CT59" s="945"/>
      <c r="CU59" s="945"/>
      <c r="CV59" s="945"/>
      <c r="CW59" s="945"/>
      <c r="CX59" s="945"/>
      <c r="CY59" s="945"/>
      <c r="CZ59" s="945"/>
      <c r="DA59" s="945"/>
      <c r="DB59" s="945"/>
      <c r="DC59" s="945"/>
      <c r="DD59" s="945"/>
      <c r="DE59" s="945"/>
      <c r="DF59" s="945"/>
      <c r="DG59" s="945"/>
      <c r="DH59" s="945"/>
      <c r="DI59" s="945"/>
      <c r="DJ59" s="945"/>
      <c r="DK59" s="945"/>
      <c r="DL59" s="945"/>
      <c r="DM59" s="945"/>
      <c r="DN59" s="945"/>
      <c r="DO59" s="945"/>
      <c r="DP59" s="945"/>
      <c r="DQ59" s="945"/>
      <c r="DR59" s="945"/>
      <c r="DS59" s="945"/>
      <c r="DT59" s="945"/>
      <c r="DU59" s="945"/>
      <c r="DV59" s="945"/>
      <c r="DW59" s="945"/>
      <c r="DX59" s="945"/>
      <c r="DY59" s="945"/>
      <c r="DZ59" s="945"/>
      <c r="EA59" s="945"/>
      <c r="EB59" s="945"/>
      <c r="EC59" s="945"/>
      <c r="ED59" s="945"/>
      <c r="EE59" s="945"/>
      <c r="EF59" s="945"/>
      <c r="EG59" s="945"/>
      <c r="EH59" s="945"/>
      <c r="EI59" s="945"/>
      <c r="EJ59" s="945"/>
      <c r="EK59" s="945"/>
      <c r="EL59" s="945"/>
      <c r="EM59" s="945"/>
      <c r="EN59" s="945"/>
      <c r="EO59" s="945"/>
      <c r="EP59" s="945"/>
      <c r="EQ59" s="945"/>
      <c r="ER59" s="945"/>
      <c r="ES59" s="945"/>
      <c r="ET59" s="945"/>
      <c r="EU59" s="945"/>
      <c r="EV59" s="945"/>
      <c r="EW59" s="945"/>
      <c r="EX59" s="945"/>
      <c r="EY59" s="945"/>
      <c r="EZ59" s="945"/>
      <c r="FA59" s="945"/>
      <c r="FB59" s="945"/>
      <c r="FC59" s="945"/>
      <c r="FD59" s="945"/>
      <c r="FE59" s="945"/>
      <c r="FF59" s="945"/>
      <c r="FG59" s="945"/>
      <c r="FH59" s="945"/>
      <c r="FI59" s="945"/>
      <c r="FJ59" s="945"/>
      <c r="FK59" s="945"/>
      <c r="FL59" s="945"/>
      <c r="FM59" s="945"/>
      <c r="FN59" s="945"/>
      <c r="FO59" s="945"/>
      <c r="FP59" s="945"/>
      <c r="FQ59" s="945"/>
      <c r="FR59" s="945"/>
      <c r="FS59" s="945"/>
      <c r="FT59" s="945"/>
      <c r="FU59" s="945"/>
      <c r="FV59" s="945"/>
      <c r="FW59" s="945"/>
      <c r="FX59" s="945"/>
      <c r="FY59" s="945"/>
      <c r="FZ59" s="945"/>
      <c r="GA59" s="945"/>
      <c r="GB59" s="945"/>
      <c r="GC59" s="945"/>
      <c r="GD59" s="945"/>
      <c r="GE59" s="945"/>
      <c r="GF59" s="945"/>
      <c r="GG59" s="945"/>
      <c r="GH59" s="945"/>
      <c r="GI59" s="945"/>
      <c r="GJ59" s="945"/>
      <c r="GK59" s="945"/>
      <c r="GL59" s="945"/>
      <c r="GM59" s="945"/>
      <c r="GN59" s="945"/>
      <c r="GO59" s="945"/>
      <c r="GP59" s="945"/>
      <c r="GQ59" s="945"/>
      <c r="GR59" s="945"/>
      <c r="GS59" s="945"/>
      <c r="GT59" s="945"/>
      <c r="GU59" s="945"/>
      <c r="GV59" s="945"/>
      <c r="GW59" s="945"/>
      <c r="GX59" s="945"/>
      <c r="GY59" s="945"/>
      <c r="GZ59" s="945"/>
      <c r="HA59" s="945"/>
      <c r="HB59" s="945"/>
      <c r="HC59" s="945"/>
      <c r="HD59" s="945"/>
      <c r="HE59" s="945"/>
      <c r="HF59" s="945"/>
      <c r="HG59" s="945"/>
      <c r="HH59" s="945"/>
      <c r="HI59" s="945"/>
      <c r="HJ59" s="945"/>
      <c r="HK59" s="945"/>
      <c r="HL59" s="945"/>
      <c r="HM59" s="945"/>
      <c r="HN59" s="945"/>
      <c r="HO59" s="945"/>
      <c r="HP59" s="945"/>
      <c r="HQ59" s="945"/>
      <c r="HR59" s="945"/>
      <c r="HS59" s="945"/>
      <c r="HT59" s="945"/>
      <c r="HU59" s="945"/>
      <c r="HV59" s="945"/>
      <c r="HW59" s="945"/>
      <c r="HX59" s="945"/>
      <c r="HY59" s="945"/>
      <c r="HZ59" s="945"/>
      <c r="IA59" s="945"/>
      <c r="IB59" s="945"/>
      <c r="IC59" s="945"/>
      <c r="ID59" s="945"/>
      <c r="IE59" s="945"/>
      <c r="IF59" s="945"/>
      <c r="IG59" s="945"/>
      <c r="IH59" s="945"/>
      <c r="II59" s="945"/>
      <c r="IJ59" s="945"/>
      <c r="IK59" s="945"/>
      <c r="IL59" s="945"/>
      <c r="IM59" s="945"/>
      <c r="IN59" s="945"/>
      <c r="IO59" s="945"/>
      <c r="IP59" s="945"/>
      <c r="IQ59" s="945"/>
      <c r="IR59" s="945"/>
      <c r="IS59" s="945"/>
      <c r="IT59" s="945"/>
      <c r="IU59" s="945"/>
      <c r="IV59" s="945"/>
      <c r="IW59" s="945"/>
      <c r="IX59" s="945"/>
      <c r="IY59" s="945"/>
      <c r="IZ59" s="945"/>
      <c r="JA59" s="945"/>
      <c r="JB59" s="945"/>
      <c r="JC59" s="945"/>
      <c r="JD59" s="945"/>
      <c r="JE59" s="945"/>
      <c r="JF59" s="945"/>
      <c r="JG59" s="945"/>
      <c r="JH59" s="945"/>
      <c r="JI59" s="945"/>
      <c r="JJ59" s="945"/>
      <c r="JK59" s="945"/>
      <c r="JL59" s="945"/>
      <c r="JM59" s="945"/>
      <c r="JN59" s="945"/>
      <c r="JO59" s="945"/>
      <c r="JP59" s="945"/>
      <c r="JQ59" s="945"/>
      <c r="JR59" s="945"/>
      <c r="JS59" s="945"/>
      <c r="JT59" s="945"/>
      <c r="JU59" s="945"/>
      <c r="JV59" s="945"/>
      <c r="JW59" s="945"/>
      <c r="JX59" s="945"/>
      <c r="JY59" s="945"/>
      <c r="JZ59" s="945"/>
      <c r="KA59" s="945"/>
      <c r="KB59" s="945"/>
      <c r="KC59" s="945"/>
      <c r="KD59" s="945"/>
      <c r="KE59" s="945"/>
      <c r="KF59" s="945"/>
      <c r="KG59" s="945"/>
      <c r="KH59" s="945"/>
      <c r="KI59" s="945"/>
      <c r="KJ59" s="945"/>
      <c r="KK59" s="945"/>
      <c r="KL59" s="945"/>
      <c r="KM59" s="945"/>
      <c r="KN59" s="945"/>
      <c r="KO59" s="945"/>
      <c r="KP59" s="945"/>
      <c r="KQ59" s="945"/>
      <c r="KR59" s="945"/>
      <c r="KS59" s="945"/>
      <c r="KT59" s="945"/>
      <c r="KU59" s="945"/>
      <c r="KV59" s="945"/>
      <c r="KW59" s="945"/>
      <c r="KX59" s="945"/>
      <c r="KY59" s="945"/>
      <c r="KZ59" s="945"/>
      <c r="LA59" s="945"/>
      <c r="LB59" s="945"/>
      <c r="LC59" s="945"/>
      <c r="LD59" s="945"/>
      <c r="LE59" s="945"/>
      <c r="LF59" s="945"/>
      <c r="LG59" s="945"/>
      <c r="LH59" s="945"/>
      <c r="LI59" s="945"/>
      <c r="LJ59" s="945"/>
      <c r="LK59" s="945"/>
      <c r="LL59" s="945"/>
      <c r="LM59" s="945"/>
      <c r="LN59" s="945"/>
      <c r="LO59" s="945"/>
      <c r="LP59" s="945"/>
      <c r="LQ59" s="945"/>
      <c r="LR59" s="945"/>
      <c r="LS59" s="945"/>
      <c r="LT59" s="945"/>
      <c r="LU59" s="945"/>
      <c r="LV59" s="945"/>
      <c r="LW59" s="945"/>
      <c r="LX59" s="945"/>
      <c r="LY59" s="945"/>
      <c r="LZ59" s="945"/>
      <c r="MA59" s="945"/>
      <c r="MB59" s="945"/>
      <c r="MC59" s="945"/>
      <c r="MD59" s="945"/>
      <c r="ME59" s="945"/>
      <c r="MF59" s="945"/>
      <c r="MG59" s="945"/>
      <c r="MH59" s="945"/>
      <c r="MI59" s="945"/>
      <c r="MJ59" s="945"/>
      <c r="MK59" s="945"/>
      <c r="ML59" s="945"/>
      <c r="MM59" s="945"/>
      <c r="MN59" s="945"/>
      <c r="MO59" s="945"/>
      <c r="MP59" s="945"/>
      <c r="MQ59" s="945"/>
      <c r="MR59" s="945"/>
      <c r="MS59" s="945"/>
      <c r="MT59" s="945"/>
      <c r="MU59" s="945"/>
      <c r="MV59" s="945"/>
      <c r="MW59" s="945"/>
      <c r="MX59" s="945"/>
      <c r="MY59" s="945"/>
      <c r="MZ59" s="945"/>
      <c r="NA59" s="945"/>
      <c r="NB59" s="945"/>
      <c r="NC59" s="945"/>
      <c r="ND59" s="945"/>
      <c r="NE59" s="945"/>
      <c r="NF59" s="945"/>
      <c r="NG59" s="945"/>
      <c r="NH59" s="945"/>
      <c r="NI59" s="945"/>
      <c r="NJ59" s="945"/>
      <c r="NK59" s="945"/>
      <c r="NL59" s="945"/>
      <c r="NM59" s="945"/>
      <c r="NN59" s="945"/>
      <c r="NO59" s="945"/>
      <c r="NP59" s="945"/>
      <c r="NQ59" s="945"/>
      <c r="NR59" s="945"/>
      <c r="NS59" s="945"/>
      <c r="NT59" s="945"/>
      <c r="NU59" s="945"/>
      <c r="NV59" s="945"/>
      <c r="NW59" s="945"/>
      <c r="NX59" s="945"/>
      <c r="NY59" s="945"/>
      <c r="NZ59" s="945"/>
      <c r="OA59" s="945"/>
      <c r="OB59" s="945"/>
      <c r="OC59" s="945"/>
      <c r="OD59" s="945"/>
      <c r="OE59" s="945"/>
      <c r="OF59" s="945"/>
      <c r="OG59" s="945"/>
      <c r="OH59" s="945"/>
      <c r="OI59" s="945"/>
      <c r="OJ59" s="945"/>
      <c r="OK59" s="945"/>
      <c r="OL59" s="945"/>
      <c r="OM59" s="945"/>
      <c r="ON59" s="945"/>
      <c r="OO59" s="945"/>
      <c r="OP59" s="945"/>
      <c r="OQ59" s="945"/>
      <c r="OR59" s="945"/>
      <c r="OS59" s="945"/>
      <c r="OT59" s="945"/>
      <c r="OU59" s="945"/>
      <c r="OV59" s="945"/>
      <c r="OW59" s="945"/>
      <c r="OX59" s="945"/>
      <c r="OY59" s="945"/>
      <c r="OZ59" s="945"/>
      <c r="PA59" s="945"/>
      <c r="PB59" s="945"/>
      <c r="PC59" s="945"/>
      <c r="PD59" s="945"/>
      <c r="PE59" s="945"/>
      <c r="PF59" s="945"/>
      <c r="PG59" s="945"/>
      <c r="PH59" s="945"/>
      <c r="PI59" s="945"/>
      <c r="PJ59" s="945"/>
      <c r="PK59" s="945"/>
      <c r="PL59" s="945"/>
      <c r="PM59" s="945"/>
      <c r="PN59" s="945"/>
      <c r="PO59" s="945"/>
      <c r="PP59" s="945"/>
      <c r="PQ59" s="945"/>
      <c r="PR59" s="945"/>
      <c r="PS59" s="945"/>
      <c r="PT59" s="945"/>
      <c r="PU59" s="945"/>
      <c r="PV59" s="945"/>
      <c r="PW59" s="945"/>
      <c r="PX59" s="945"/>
      <c r="PY59" s="945"/>
      <c r="PZ59" s="945"/>
      <c r="QA59" s="945"/>
      <c r="QB59" s="945"/>
      <c r="QC59" s="945"/>
      <c r="QD59" s="945"/>
      <c r="QE59" s="945"/>
      <c r="QF59" s="945"/>
      <c r="QG59" s="945"/>
      <c r="QH59" s="945"/>
      <c r="QI59" s="945"/>
      <c r="QJ59" s="945"/>
      <c r="QK59" s="945"/>
      <c r="QL59" s="945"/>
      <c r="QM59" s="945"/>
      <c r="QN59" s="945"/>
      <c r="QO59" s="945"/>
      <c r="QP59" s="945"/>
      <c r="QQ59" s="945"/>
      <c r="QR59" s="945"/>
      <c r="QS59" s="945"/>
      <c r="QT59" s="945"/>
      <c r="QU59" s="945"/>
      <c r="QV59" s="945"/>
      <c r="QW59" s="945"/>
      <c r="QX59" s="945"/>
      <c r="QY59" s="945"/>
      <c r="QZ59" s="945"/>
      <c r="RA59" s="945"/>
      <c r="RB59" s="945"/>
      <c r="RC59" s="945"/>
      <c r="RD59" s="945"/>
      <c r="RE59" s="945"/>
      <c r="RF59" s="945"/>
      <c r="RG59" s="945"/>
      <c r="RH59" s="945"/>
      <c r="RI59" s="945"/>
      <c r="RJ59" s="945"/>
      <c r="RK59" s="945"/>
      <c r="RL59" s="945"/>
      <c r="RM59" s="945"/>
      <c r="RN59" s="945"/>
      <c r="RO59" s="945"/>
      <c r="RP59" s="945"/>
      <c r="RQ59" s="945"/>
      <c r="RR59" s="945"/>
      <c r="RS59" s="945"/>
      <c r="RT59" s="945"/>
      <c r="RU59" s="945"/>
      <c r="RV59" s="945"/>
      <c r="RW59" s="945"/>
      <c r="RX59" s="945"/>
    </row>
    <row r="60" spans="1:492" s="165" customFormat="1">
      <c r="A60" s="945"/>
      <c r="B60" s="945"/>
      <c r="C60" s="945"/>
      <c r="D60" s="945"/>
      <c r="E60" s="945"/>
      <c r="F60" s="945"/>
      <c r="G60" s="945"/>
      <c r="H60" s="945"/>
      <c r="I60" s="945"/>
      <c r="J60" s="945"/>
      <c r="K60" s="945"/>
      <c r="L60" s="945"/>
      <c r="M60" s="945"/>
      <c r="N60" s="945"/>
      <c r="O60" s="945"/>
      <c r="P60" s="945"/>
      <c r="Q60" s="945"/>
      <c r="R60" s="945"/>
      <c r="S60" s="945"/>
      <c r="T60" s="945"/>
      <c r="U60" s="945"/>
      <c r="V60" s="945"/>
      <c r="W60" s="945"/>
      <c r="X60" s="945"/>
      <c r="Y60" s="945"/>
      <c r="Z60" s="945"/>
      <c r="AA60" s="945"/>
      <c r="AB60" s="945"/>
      <c r="AC60" s="945"/>
      <c r="AD60" s="945"/>
      <c r="AE60" s="945"/>
      <c r="AF60" s="945"/>
      <c r="AG60" s="945"/>
      <c r="AH60" s="945"/>
      <c r="AI60" s="945"/>
      <c r="AJ60" s="945"/>
      <c r="AK60" s="945"/>
      <c r="AL60" s="945"/>
      <c r="AM60" s="948"/>
      <c r="AN60" s="948"/>
      <c r="AO60" s="948"/>
      <c r="AP60" s="948"/>
      <c r="AQ60" s="948"/>
      <c r="AR60" s="948"/>
      <c r="AS60" s="948"/>
      <c r="AT60" s="948"/>
      <c r="AU60" s="948"/>
      <c r="AV60" s="948"/>
      <c r="AW60" s="948"/>
      <c r="AX60" s="948"/>
      <c r="AY60" s="948"/>
      <c r="AZ60" s="948"/>
      <c r="BA60" s="948"/>
      <c r="BB60" s="948"/>
      <c r="BC60" s="948"/>
      <c r="BD60" s="948"/>
      <c r="BE60" s="948"/>
      <c r="BF60" s="948"/>
      <c r="BG60" s="948"/>
      <c r="BH60" s="948"/>
      <c r="BI60" s="948"/>
      <c r="BJ60" s="948"/>
      <c r="BK60" s="948"/>
      <c r="BL60" s="948"/>
      <c r="BM60" s="948"/>
      <c r="BN60" s="948"/>
      <c r="BO60" s="948"/>
      <c r="BP60" s="948"/>
      <c r="BQ60" s="948"/>
      <c r="BR60" s="948"/>
      <c r="BS60" s="948"/>
      <c r="BT60" s="948"/>
      <c r="BU60" s="948"/>
      <c r="BV60" s="948"/>
      <c r="BW60" s="948"/>
      <c r="BX60" s="948"/>
      <c r="BY60" s="948"/>
      <c r="BZ60" s="948"/>
      <c r="CA60" s="945"/>
      <c r="CB60" s="945"/>
      <c r="CC60" s="945"/>
      <c r="CD60" s="945"/>
      <c r="CE60" s="945"/>
      <c r="CF60" s="945"/>
      <c r="CG60" s="945"/>
      <c r="CH60" s="945"/>
      <c r="CI60" s="945"/>
      <c r="CJ60" s="945"/>
      <c r="CK60" s="945"/>
      <c r="CL60" s="945"/>
      <c r="CM60" s="945"/>
      <c r="CN60" s="945"/>
      <c r="CO60" s="945"/>
      <c r="CP60" s="945"/>
      <c r="CQ60" s="945"/>
      <c r="CR60" s="945"/>
      <c r="CS60" s="945"/>
      <c r="CT60" s="945"/>
      <c r="CU60" s="945"/>
      <c r="CV60" s="945"/>
      <c r="CW60" s="945"/>
      <c r="CX60" s="945"/>
      <c r="CY60" s="945"/>
      <c r="CZ60" s="945"/>
      <c r="DA60" s="945"/>
      <c r="DB60" s="945"/>
      <c r="DC60" s="945"/>
      <c r="DD60" s="945"/>
      <c r="DE60" s="945"/>
      <c r="DF60" s="945"/>
      <c r="DG60" s="945"/>
      <c r="DH60" s="945"/>
      <c r="DI60" s="945"/>
      <c r="DJ60" s="945"/>
      <c r="DK60" s="945"/>
      <c r="DL60" s="945"/>
      <c r="DM60" s="945"/>
      <c r="DN60" s="945"/>
      <c r="DO60" s="945"/>
      <c r="DP60" s="945"/>
      <c r="DQ60" s="945"/>
      <c r="DR60" s="945"/>
      <c r="DS60" s="945"/>
      <c r="DT60" s="945"/>
      <c r="DU60" s="945"/>
      <c r="DV60" s="945"/>
      <c r="DW60" s="945"/>
      <c r="DX60" s="945"/>
      <c r="DY60" s="945"/>
      <c r="DZ60" s="945"/>
      <c r="EA60" s="945"/>
      <c r="EB60" s="945"/>
      <c r="EC60" s="945"/>
      <c r="ED60" s="945"/>
      <c r="EE60" s="945"/>
      <c r="EF60" s="945"/>
      <c r="EG60" s="945"/>
      <c r="EH60" s="945"/>
      <c r="EI60" s="945"/>
      <c r="EJ60" s="945"/>
      <c r="EK60" s="945"/>
      <c r="EL60" s="945"/>
      <c r="EM60" s="945"/>
      <c r="EN60" s="945"/>
      <c r="EO60" s="945"/>
      <c r="EP60" s="945"/>
      <c r="EQ60" s="945"/>
      <c r="ER60" s="945"/>
      <c r="ES60" s="945"/>
      <c r="ET60" s="945"/>
      <c r="EU60" s="945"/>
      <c r="EV60" s="945"/>
      <c r="EW60" s="945"/>
      <c r="EX60" s="945"/>
      <c r="EY60" s="945"/>
      <c r="EZ60" s="945"/>
      <c r="FA60" s="945"/>
      <c r="FB60" s="945"/>
      <c r="FC60" s="945"/>
      <c r="FD60" s="945"/>
      <c r="FE60" s="945"/>
      <c r="FF60" s="945"/>
      <c r="FG60" s="945"/>
      <c r="FH60" s="945"/>
      <c r="FI60" s="945"/>
      <c r="FJ60" s="945"/>
      <c r="FK60" s="945"/>
      <c r="FL60" s="945"/>
      <c r="FM60" s="945"/>
      <c r="FN60" s="945"/>
      <c r="FO60" s="945"/>
      <c r="FP60" s="945"/>
      <c r="FQ60" s="945"/>
      <c r="FR60" s="945"/>
      <c r="FS60" s="945"/>
      <c r="FT60" s="945"/>
      <c r="FU60" s="945"/>
      <c r="FV60" s="945"/>
      <c r="FW60" s="945"/>
      <c r="FX60" s="945"/>
      <c r="FY60" s="945"/>
      <c r="FZ60" s="945"/>
      <c r="GA60" s="945"/>
      <c r="GB60" s="945"/>
      <c r="GC60" s="945"/>
      <c r="GD60" s="945"/>
      <c r="GE60" s="945"/>
      <c r="GF60" s="945"/>
      <c r="GG60" s="945"/>
      <c r="GH60" s="945"/>
      <c r="GI60" s="945"/>
      <c r="GJ60" s="945"/>
      <c r="GK60" s="945"/>
      <c r="GL60" s="945"/>
      <c r="GM60" s="945"/>
      <c r="GN60" s="945"/>
      <c r="GO60" s="945"/>
      <c r="GP60" s="945"/>
      <c r="GQ60" s="945"/>
      <c r="GR60" s="945"/>
      <c r="GS60" s="945"/>
      <c r="GT60" s="945"/>
      <c r="GU60" s="945"/>
      <c r="GV60" s="945"/>
      <c r="GW60" s="945"/>
      <c r="GX60" s="945"/>
      <c r="GY60" s="945"/>
      <c r="GZ60" s="945"/>
      <c r="HA60" s="945"/>
      <c r="HB60" s="945"/>
      <c r="HC60" s="945"/>
      <c r="HD60" s="945"/>
      <c r="HE60" s="945"/>
      <c r="HF60" s="945"/>
      <c r="HG60" s="945"/>
      <c r="HH60" s="945"/>
      <c r="HI60" s="945"/>
      <c r="HJ60" s="945"/>
      <c r="HK60" s="945"/>
      <c r="HL60" s="945"/>
      <c r="HM60" s="945"/>
      <c r="HN60" s="945"/>
      <c r="HO60" s="945"/>
      <c r="HP60" s="945"/>
      <c r="HQ60" s="945"/>
      <c r="HR60" s="945"/>
      <c r="HS60" s="945"/>
      <c r="HT60" s="945"/>
      <c r="HU60" s="945"/>
      <c r="HV60" s="945"/>
      <c r="HW60" s="945"/>
      <c r="HX60" s="945"/>
      <c r="HY60" s="945"/>
      <c r="HZ60" s="945"/>
      <c r="IA60" s="945"/>
      <c r="IB60" s="945"/>
      <c r="IC60" s="945"/>
      <c r="ID60" s="945"/>
      <c r="IE60" s="945"/>
      <c r="IF60" s="945"/>
      <c r="IG60" s="945"/>
      <c r="IH60" s="945"/>
      <c r="II60" s="945"/>
      <c r="IJ60" s="945"/>
      <c r="IK60" s="945"/>
      <c r="IL60" s="945"/>
      <c r="IM60" s="945"/>
      <c r="IN60" s="945"/>
      <c r="IO60" s="945"/>
      <c r="IP60" s="945"/>
      <c r="IQ60" s="945"/>
      <c r="IR60" s="945"/>
      <c r="IS60" s="945"/>
      <c r="IT60" s="945"/>
      <c r="IU60" s="945"/>
      <c r="IV60" s="945"/>
      <c r="IW60" s="945"/>
      <c r="IX60" s="945"/>
      <c r="IY60" s="945"/>
      <c r="IZ60" s="945"/>
      <c r="JA60" s="945"/>
      <c r="JB60" s="945"/>
      <c r="JC60" s="945"/>
      <c r="JD60" s="945"/>
      <c r="JE60" s="945"/>
      <c r="JF60" s="945"/>
      <c r="JG60" s="945"/>
      <c r="JH60" s="945"/>
      <c r="JI60" s="945"/>
      <c r="JJ60" s="945"/>
      <c r="JK60" s="945"/>
      <c r="JL60" s="945"/>
      <c r="JM60" s="945"/>
      <c r="JN60" s="945"/>
      <c r="JO60" s="945"/>
      <c r="JP60" s="945"/>
      <c r="JQ60" s="945"/>
      <c r="JR60" s="945"/>
      <c r="JS60" s="945"/>
      <c r="JT60" s="945"/>
      <c r="JU60" s="945"/>
      <c r="JV60" s="945"/>
      <c r="JW60" s="945"/>
      <c r="JX60" s="945"/>
      <c r="JY60" s="945"/>
      <c r="JZ60" s="945"/>
      <c r="KA60" s="945"/>
      <c r="KB60" s="945"/>
      <c r="KC60" s="945"/>
      <c r="KD60" s="945"/>
      <c r="KE60" s="945"/>
      <c r="KF60" s="945"/>
      <c r="KG60" s="945"/>
      <c r="KH60" s="945"/>
      <c r="KI60" s="945"/>
      <c r="KJ60" s="945"/>
      <c r="KK60" s="945"/>
      <c r="KL60" s="945"/>
      <c r="KM60" s="945"/>
      <c r="KN60" s="945"/>
      <c r="KO60" s="945"/>
      <c r="KP60" s="945"/>
      <c r="KQ60" s="945"/>
      <c r="KR60" s="945"/>
      <c r="KS60" s="945"/>
      <c r="KT60" s="945"/>
      <c r="KU60" s="945"/>
      <c r="KV60" s="945"/>
      <c r="KW60" s="945"/>
      <c r="KX60" s="945"/>
      <c r="KY60" s="945"/>
      <c r="KZ60" s="945"/>
      <c r="LA60" s="945"/>
      <c r="LB60" s="945"/>
      <c r="LC60" s="945"/>
      <c r="LD60" s="945"/>
      <c r="LE60" s="945"/>
      <c r="LF60" s="945"/>
      <c r="LG60" s="945"/>
      <c r="LH60" s="945"/>
      <c r="LI60" s="945"/>
      <c r="LJ60" s="945"/>
      <c r="LK60" s="945"/>
      <c r="LL60" s="945"/>
      <c r="LM60" s="945"/>
      <c r="LN60" s="945"/>
      <c r="LO60" s="945"/>
      <c r="LP60" s="945"/>
      <c r="LQ60" s="945"/>
      <c r="LR60" s="945"/>
      <c r="LS60" s="945"/>
      <c r="LT60" s="945"/>
      <c r="LU60" s="945"/>
      <c r="LV60" s="945"/>
      <c r="LW60" s="945"/>
      <c r="LX60" s="945"/>
      <c r="LY60" s="945"/>
      <c r="LZ60" s="945"/>
      <c r="MA60" s="945"/>
      <c r="MB60" s="945"/>
      <c r="MC60" s="945"/>
      <c r="MD60" s="945"/>
      <c r="ME60" s="945"/>
      <c r="MF60" s="945"/>
      <c r="MG60" s="945"/>
      <c r="MH60" s="945"/>
      <c r="MI60" s="945"/>
      <c r="MJ60" s="945"/>
      <c r="MK60" s="945"/>
      <c r="ML60" s="945"/>
      <c r="MM60" s="945"/>
      <c r="MN60" s="945"/>
      <c r="MO60" s="945"/>
      <c r="MP60" s="945"/>
      <c r="MQ60" s="945"/>
      <c r="MR60" s="945"/>
      <c r="MS60" s="945"/>
      <c r="MT60" s="945"/>
      <c r="MU60" s="945"/>
      <c r="MV60" s="945"/>
      <c r="MW60" s="945"/>
      <c r="MX60" s="945"/>
      <c r="MY60" s="945"/>
      <c r="MZ60" s="945"/>
      <c r="NA60" s="945"/>
      <c r="NB60" s="945"/>
      <c r="NC60" s="945"/>
      <c r="ND60" s="945"/>
      <c r="NE60" s="945"/>
      <c r="NF60" s="945"/>
      <c r="NG60" s="945"/>
      <c r="NH60" s="945"/>
      <c r="NI60" s="945"/>
      <c r="NJ60" s="945"/>
      <c r="NK60" s="945"/>
      <c r="NL60" s="945"/>
      <c r="NM60" s="945"/>
      <c r="NN60" s="945"/>
      <c r="NO60" s="945"/>
      <c r="NP60" s="945"/>
      <c r="NQ60" s="945"/>
      <c r="NR60" s="945"/>
      <c r="NS60" s="945"/>
      <c r="NT60" s="945"/>
      <c r="NU60" s="945"/>
      <c r="NV60" s="945"/>
      <c r="NW60" s="945"/>
      <c r="NX60" s="945"/>
      <c r="NY60" s="945"/>
      <c r="NZ60" s="945"/>
      <c r="OA60" s="945"/>
      <c r="OB60" s="945"/>
      <c r="OC60" s="945"/>
      <c r="OD60" s="945"/>
      <c r="OE60" s="945"/>
      <c r="OF60" s="945"/>
      <c r="OG60" s="945"/>
      <c r="OH60" s="945"/>
      <c r="OI60" s="945"/>
      <c r="OJ60" s="945"/>
      <c r="OK60" s="945"/>
      <c r="OL60" s="945"/>
      <c r="OM60" s="945"/>
      <c r="ON60" s="945"/>
      <c r="OO60" s="945"/>
      <c r="OP60" s="945"/>
      <c r="OQ60" s="945"/>
      <c r="OR60" s="945"/>
      <c r="OS60" s="945"/>
      <c r="OT60" s="945"/>
      <c r="OU60" s="945"/>
      <c r="OV60" s="945"/>
      <c r="OW60" s="945"/>
      <c r="OX60" s="945"/>
      <c r="OY60" s="945"/>
      <c r="OZ60" s="945"/>
      <c r="PA60" s="945"/>
      <c r="PB60" s="945"/>
      <c r="PC60" s="945"/>
      <c r="PD60" s="945"/>
      <c r="PE60" s="945"/>
      <c r="PF60" s="945"/>
      <c r="PG60" s="945"/>
      <c r="PH60" s="945"/>
      <c r="PI60" s="945"/>
      <c r="PJ60" s="945"/>
      <c r="PK60" s="945"/>
      <c r="PL60" s="945"/>
      <c r="PM60" s="945"/>
      <c r="PN60" s="945"/>
      <c r="PO60" s="945"/>
      <c r="PP60" s="945"/>
      <c r="PQ60" s="945"/>
      <c r="PR60" s="945"/>
      <c r="PS60" s="945"/>
      <c r="PT60" s="945"/>
      <c r="PU60" s="945"/>
      <c r="PV60" s="945"/>
      <c r="PW60" s="945"/>
      <c r="PX60" s="945"/>
      <c r="PY60" s="945"/>
      <c r="PZ60" s="945"/>
      <c r="QA60" s="945"/>
      <c r="QB60" s="945"/>
      <c r="QC60" s="945"/>
      <c r="QD60" s="945"/>
      <c r="QE60" s="945"/>
      <c r="QF60" s="945"/>
      <c r="QG60" s="945"/>
      <c r="QH60" s="945"/>
      <c r="QI60" s="945"/>
      <c r="QJ60" s="945"/>
      <c r="QK60" s="945"/>
      <c r="QL60" s="945"/>
      <c r="QM60" s="945"/>
      <c r="QN60" s="945"/>
      <c r="QO60" s="945"/>
      <c r="QP60" s="945"/>
      <c r="QQ60" s="945"/>
      <c r="QR60" s="945"/>
      <c r="QS60" s="945"/>
      <c r="QT60" s="945"/>
      <c r="QU60" s="945"/>
      <c r="QV60" s="945"/>
      <c r="QW60" s="945"/>
      <c r="QX60" s="945"/>
      <c r="QY60" s="945"/>
      <c r="QZ60" s="945"/>
      <c r="RA60" s="945"/>
      <c r="RB60" s="945"/>
      <c r="RC60" s="945"/>
      <c r="RD60" s="945"/>
      <c r="RE60" s="945"/>
      <c r="RF60" s="945"/>
      <c r="RG60" s="945"/>
      <c r="RH60" s="945"/>
      <c r="RI60" s="945"/>
      <c r="RJ60" s="945"/>
      <c r="RK60" s="945"/>
      <c r="RL60" s="945"/>
      <c r="RM60" s="945"/>
      <c r="RN60" s="945"/>
      <c r="RO60" s="945"/>
      <c r="RP60" s="945"/>
      <c r="RQ60" s="945"/>
      <c r="RR60" s="945"/>
      <c r="RS60" s="945"/>
      <c r="RT60" s="945"/>
      <c r="RU60" s="945"/>
      <c r="RV60" s="945"/>
      <c r="RW60" s="945"/>
      <c r="RX60" s="945"/>
    </row>
    <row r="61" spans="1:492" s="165" customFormat="1">
      <c r="A61" s="945"/>
      <c r="B61" s="945"/>
      <c r="C61" s="945"/>
      <c r="D61" s="945"/>
      <c r="E61" s="945"/>
      <c r="F61" s="945"/>
      <c r="G61" s="945"/>
      <c r="H61" s="945"/>
      <c r="I61" s="945"/>
      <c r="J61" s="945"/>
      <c r="K61" s="945"/>
      <c r="L61" s="945"/>
      <c r="M61" s="945"/>
      <c r="N61" s="945"/>
      <c r="O61" s="945"/>
      <c r="P61" s="945"/>
      <c r="Q61" s="945"/>
      <c r="R61" s="945"/>
      <c r="S61" s="945"/>
      <c r="T61" s="945"/>
      <c r="U61" s="945"/>
      <c r="V61" s="945"/>
      <c r="W61" s="945"/>
      <c r="X61" s="945"/>
      <c r="Y61" s="945"/>
      <c r="Z61" s="945"/>
      <c r="AA61" s="945"/>
      <c r="AB61" s="945"/>
      <c r="AC61" s="945"/>
      <c r="AD61" s="945"/>
      <c r="AE61" s="945"/>
      <c r="AF61" s="945"/>
      <c r="AG61" s="945"/>
      <c r="AH61" s="945"/>
      <c r="AI61" s="945"/>
      <c r="AJ61" s="945"/>
      <c r="AK61" s="945"/>
      <c r="AL61" s="945"/>
      <c r="AM61" s="948"/>
      <c r="AN61" s="948"/>
      <c r="AO61" s="948"/>
      <c r="AP61" s="948"/>
      <c r="AQ61" s="948"/>
      <c r="AR61" s="948"/>
      <c r="AS61" s="948"/>
      <c r="AT61" s="948"/>
      <c r="AU61" s="948"/>
      <c r="AV61" s="948"/>
      <c r="AW61" s="948"/>
      <c r="AX61" s="948"/>
      <c r="AY61" s="948"/>
      <c r="AZ61" s="948"/>
      <c r="BA61" s="948"/>
      <c r="BB61" s="948"/>
      <c r="BC61" s="948"/>
      <c r="BD61" s="948"/>
      <c r="BE61" s="948"/>
      <c r="BF61" s="948"/>
      <c r="BG61" s="948"/>
      <c r="BH61" s="948"/>
      <c r="BI61" s="948"/>
      <c r="BJ61" s="948"/>
      <c r="BK61" s="948"/>
      <c r="BL61" s="948"/>
      <c r="BM61" s="948"/>
      <c r="BN61" s="948"/>
      <c r="BO61" s="948"/>
      <c r="BP61" s="948"/>
      <c r="BQ61" s="948"/>
      <c r="BR61" s="948"/>
      <c r="BS61" s="948"/>
      <c r="BT61" s="948"/>
      <c r="BU61" s="948"/>
      <c r="BV61" s="948"/>
      <c r="BW61" s="948"/>
      <c r="BX61" s="948"/>
      <c r="BY61" s="948"/>
      <c r="BZ61" s="948"/>
      <c r="CA61" s="945"/>
      <c r="CB61" s="945"/>
      <c r="CC61" s="945"/>
      <c r="CD61" s="945"/>
      <c r="CE61" s="945"/>
      <c r="CF61" s="945"/>
      <c r="CG61" s="945"/>
      <c r="CH61" s="945"/>
      <c r="CI61" s="945"/>
      <c r="CJ61" s="945"/>
      <c r="CK61" s="945"/>
      <c r="CL61" s="945"/>
      <c r="CM61" s="945"/>
      <c r="CN61" s="945"/>
      <c r="CO61" s="945"/>
      <c r="CP61" s="945"/>
      <c r="CQ61" s="945"/>
      <c r="CR61" s="945"/>
      <c r="CS61" s="945"/>
      <c r="CT61" s="945"/>
      <c r="CU61" s="945"/>
      <c r="CV61" s="945"/>
      <c r="CW61" s="945"/>
      <c r="CX61" s="945"/>
      <c r="CY61" s="945"/>
      <c r="CZ61" s="945"/>
      <c r="DA61" s="945"/>
      <c r="DB61" s="945"/>
      <c r="DC61" s="945"/>
      <c r="DD61" s="945"/>
      <c r="DE61" s="945"/>
      <c r="DF61" s="945"/>
      <c r="DG61" s="945"/>
      <c r="DH61" s="945"/>
      <c r="DI61" s="945"/>
      <c r="DJ61" s="945"/>
      <c r="DK61" s="945"/>
      <c r="DL61" s="945"/>
      <c r="DM61" s="945"/>
      <c r="DN61" s="945"/>
      <c r="DO61" s="945"/>
      <c r="DP61" s="945"/>
      <c r="DQ61" s="945"/>
      <c r="DR61" s="945"/>
      <c r="DS61" s="945"/>
      <c r="DT61" s="945"/>
      <c r="DU61" s="945"/>
      <c r="DV61" s="945"/>
      <c r="DW61" s="945"/>
      <c r="DX61" s="945"/>
      <c r="DY61" s="945"/>
      <c r="DZ61" s="945"/>
      <c r="EA61" s="945"/>
      <c r="EB61" s="945"/>
      <c r="EC61" s="945"/>
      <c r="ED61" s="945"/>
      <c r="EE61" s="945"/>
      <c r="EF61" s="945"/>
      <c r="EG61" s="945"/>
      <c r="EH61" s="945"/>
      <c r="EI61" s="945"/>
      <c r="EJ61" s="945"/>
      <c r="EK61" s="945"/>
      <c r="EL61" s="945"/>
      <c r="EM61" s="945"/>
      <c r="EN61" s="945"/>
      <c r="EO61" s="945"/>
      <c r="EP61" s="945"/>
      <c r="EQ61" s="945"/>
      <c r="ER61" s="945"/>
      <c r="ES61" s="945"/>
      <c r="ET61" s="945"/>
      <c r="EU61" s="945"/>
      <c r="EV61" s="945"/>
      <c r="EW61" s="945"/>
      <c r="EX61" s="945"/>
      <c r="EY61" s="945"/>
      <c r="EZ61" s="945"/>
      <c r="FA61" s="945"/>
      <c r="FB61" s="945"/>
      <c r="FC61" s="945"/>
      <c r="FD61" s="945"/>
      <c r="FE61" s="945"/>
      <c r="FF61" s="945"/>
      <c r="FG61" s="945"/>
      <c r="FH61" s="945"/>
      <c r="FI61" s="945"/>
      <c r="FJ61" s="945"/>
      <c r="FK61" s="945"/>
      <c r="FL61" s="945"/>
      <c r="FM61" s="945"/>
      <c r="FN61" s="945"/>
      <c r="FO61" s="945"/>
      <c r="FP61" s="945"/>
      <c r="FQ61" s="945"/>
      <c r="FR61" s="945"/>
      <c r="FS61" s="945"/>
      <c r="FT61" s="945"/>
      <c r="FU61" s="945"/>
      <c r="FV61" s="945"/>
      <c r="FW61" s="945"/>
      <c r="FX61" s="945"/>
      <c r="FY61" s="945"/>
      <c r="FZ61" s="945"/>
      <c r="GA61" s="945"/>
      <c r="GB61" s="945"/>
      <c r="GC61" s="945"/>
      <c r="GD61" s="945"/>
      <c r="GE61" s="945"/>
      <c r="GF61" s="945"/>
      <c r="GG61" s="945"/>
      <c r="GH61" s="945"/>
      <c r="GI61" s="945"/>
      <c r="GJ61" s="945"/>
      <c r="GK61" s="945"/>
      <c r="GL61" s="945"/>
      <c r="GM61" s="945"/>
      <c r="GN61" s="945"/>
      <c r="GO61" s="945"/>
      <c r="GP61" s="945"/>
      <c r="GQ61" s="945"/>
      <c r="GR61" s="945"/>
      <c r="GS61" s="945"/>
      <c r="GT61" s="945"/>
      <c r="GU61" s="945"/>
      <c r="GV61" s="945"/>
      <c r="GW61" s="945"/>
      <c r="GX61" s="945"/>
      <c r="GY61" s="945"/>
      <c r="GZ61" s="945"/>
      <c r="HA61" s="945"/>
      <c r="HB61" s="945"/>
      <c r="HC61" s="945"/>
      <c r="HD61" s="945"/>
      <c r="HE61" s="945"/>
      <c r="HF61" s="945"/>
      <c r="HG61" s="945"/>
      <c r="HH61" s="945"/>
      <c r="HI61" s="945"/>
      <c r="HJ61" s="945"/>
      <c r="HK61" s="945"/>
      <c r="HL61" s="945"/>
      <c r="HM61" s="945"/>
      <c r="HN61" s="945"/>
      <c r="HO61" s="945"/>
      <c r="HP61" s="945"/>
      <c r="HQ61" s="945"/>
      <c r="HR61" s="945"/>
      <c r="HS61" s="945"/>
      <c r="HT61" s="945"/>
      <c r="HU61" s="945"/>
      <c r="HV61" s="945"/>
      <c r="HW61" s="945"/>
      <c r="HX61" s="945"/>
      <c r="HY61" s="945"/>
      <c r="HZ61" s="945"/>
      <c r="IA61" s="945"/>
      <c r="IB61" s="945"/>
      <c r="IC61" s="945"/>
      <c r="ID61" s="945"/>
      <c r="IE61" s="945"/>
      <c r="IF61" s="945"/>
      <c r="IG61" s="945"/>
      <c r="IH61" s="945"/>
      <c r="II61" s="945"/>
      <c r="IJ61" s="945"/>
      <c r="IK61" s="945"/>
      <c r="IL61" s="945"/>
      <c r="IM61" s="945"/>
      <c r="IN61" s="945"/>
      <c r="IO61" s="945"/>
      <c r="IP61" s="945"/>
      <c r="IQ61" s="945"/>
      <c r="IR61" s="945"/>
      <c r="IS61" s="945"/>
      <c r="IT61" s="945"/>
      <c r="IU61" s="945"/>
      <c r="IV61" s="945"/>
      <c r="IW61" s="945"/>
      <c r="IX61" s="945"/>
      <c r="IY61" s="945"/>
      <c r="IZ61" s="945"/>
      <c r="JA61" s="945"/>
      <c r="JB61" s="945"/>
      <c r="JC61" s="945"/>
      <c r="JD61" s="945"/>
      <c r="JE61" s="945"/>
      <c r="JF61" s="945"/>
      <c r="JG61" s="945"/>
      <c r="JH61" s="945"/>
      <c r="JI61" s="945"/>
      <c r="JJ61" s="945"/>
      <c r="JK61" s="945"/>
      <c r="JL61" s="945"/>
      <c r="JM61" s="945"/>
      <c r="JN61" s="945"/>
      <c r="JO61" s="945"/>
      <c r="JP61" s="945"/>
      <c r="JQ61" s="945"/>
      <c r="JR61" s="945"/>
      <c r="JS61" s="945"/>
      <c r="JT61" s="945"/>
      <c r="JU61" s="945"/>
      <c r="JV61" s="945"/>
      <c r="JW61" s="945"/>
      <c r="JX61" s="945"/>
      <c r="JY61" s="945"/>
      <c r="JZ61" s="945"/>
      <c r="KA61" s="945"/>
      <c r="KB61" s="945"/>
      <c r="KC61" s="945"/>
      <c r="KD61" s="945"/>
      <c r="KE61" s="945"/>
      <c r="KF61" s="945"/>
      <c r="KG61" s="945"/>
      <c r="KH61" s="945"/>
      <c r="KI61" s="945"/>
      <c r="KJ61" s="945"/>
      <c r="KK61" s="945"/>
      <c r="KL61" s="945"/>
      <c r="KM61" s="945"/>
      <c r="KN61" s="945"/>
      <c r="KO61" s="945"/>
      <c r="KP61" s="945"/>
      <c r="KQ61" s="945"/>
      <c r="KR61" s="945"/>
      <c r="KS61" s="945"/>
      <c r="KT61" s="945"/>
      <c r="KU61" s="945"/>
      <c r="KV61" s="945"/>
      <c r="KW61" s="945"/>
      <c r="KX61" s="945"/>
      <c r="KY61" s="945"/>
      <c r="KZ61" s="945"/>
      <c r="LA61" s="945"/>
      <c r="LB61" s="945"/>
      <c r="LC61" s="945"/>
      <c r="LD61" s="945"/>
      <c r="LE61" s="945"/>
      <c r="LF61" s="945"/>
      <c r="LG61" s="945"/>
      <c r="LH61" s="945"/>
      <c r="LI61" s="945"/>
      <c r="LJ61" s="945"/>
      <c r="LK61" s="945"/>
      <c r="LL61" s="945"/>
      <c r="LM61" s="945"/>
      <c r="LN61" s="945"/>
      <c r="LO61" s="945"/>
      <c r="LP61" s="945"/>
      <c r="LQ61" s="945"/>
      <c r="LR61" s="945"/>
      <c r="LS61" s="945"/>
      <c r="LT61" s="945"/>
      <c r="LU61" s="945"/>
      <c r="LV61" s="945"/>
      <c r="LW61" s="945"/>
      <c r="LX61" s="945"/>
      <c r="LY61" s="945"/>
      <c r="LZ61" s="945"/>
      <c r="MA61" s="945"/>
      <c r="MB61" s="945"/>
      <c r="MC61" s="945"/>
      <c r="MD61" s="945"/>
      <c r="ME61" s="945"/>
      <c r="MF61" s="945"/>
      <c r="MG61" s="945"/>
      <c r="MH61" s="945"/>
      <c r="MI61" s="945"/>
      <c r="MJ61" s="945"/>
      <c r="MK61" s="945"/>
      <c r="ML61" s="945"/>
      <c r="MM61" s="945"/>
      <c r="MN61" s="945"/>
      <c r="MO61" s="945"/>
      <c r="MP61" s="945"/>
      <c r="MQ61" s="945"/>
      <c r="MR61" s="945"/>
      <c r="MS61" s="945"/>
      <c r="MT61" s="945"/>
      <c r="MU61" s="945"/>
      <c r="MV61" s="945"/>
      <c r="MW61" s="945"/>
      <c r="MX61" s="945"/>
      <c r="MY61" s="945"/>
      <c r="MZ61" s="945"/>
      <c r="NA61" s="945"/>
      <c r="NB61" s="945"/>
      <c r="NC61" s="945"/>
      <c r="ND61" s="945"/>
      <c r="NE61" s="945"/>
      <c r="NF61" s="945"/>
      <c r="NG61" s="945"/>
      <c r="NH61" s="945"/>
      <c r="NI61" s="945"/>
      <c r="NJ61" s="945"/>
      <c r="NK61" s="945"/>
      <c r="NL61" s="945"/>
      <c r="NM61" s="945"/>
      <c r="NN61" s="945"/>
      <c r="NO61" s="945"/>
      <c r="NP61" s="945"/>
      <c r="NQ61" s="945"/>
      <c r="NR61" s="945"/>
      <c r="NS61" s="945"/>
      <c r="NT61" s="945"/>
      <c r="NU61" s="945"/>
      <c r="NV61" s="945"/>
      <c r="NW61" s="945"/>
      <c r="NX61" s="945"/>
      <c r="NY61" s="945"/>
      <c r="NZ61" s="945"/>
      <c r="OA61" s="945"/>
      <c r="OB61" s="945"/>
      <c r="OC61" s="945"/>
      <c r="OD61" s="945"/>
      <c r="OE61" s="945"/>
      <c r="OF61" s="945"/>
      <c r="OG61" s="945"/>
      <c r="OH61" s="945"/>
      <c r="OI61" s="945"/>
      <c r="OJ61" s="945"/>
      <c r="OK61" s="945"/>
      <c r="OL61" s="945"/>
      <c r="OM61" s="945"/>
      <c r="ON61" s="945"/>
      <c r="OO61" s="945"/>
      <c r="OP61" s="945"/>
      <c r="OQ61" s="945"/>
      <c r="OR61" s="945"/>
      <c r="OS61" s="945"/>
      <c r="OT61" s="945"/>
      <c r="OU61" s="945"/>
      <c r="OV61" s="945"/>
      <c r="OW61" s="945"/>
      <c r="OX61" s="945"/>
      <c r="OY61" s="945"/>
      <c r="OZ61" s="945"/>
      <c r="PA61" s="945"/>
      <c r="PB61" s="945"/>
      <c r="PC61" s="945"/>
      <c r="PD61" s="945"/>
      <c r="PE61" s="945"/>
      <c r="PF61" s="945"/>
      <c r="PG61" s="945"/>
      <c r="PH61" s="945"/>
      <c r="PI61" s="945"/>
      <c r="PJ61" s="945"/>
      <c r="PK61" s="945"/>
      <c r="PL61" s="945"/>
      <c r="PM61" s="945"/>
      <c r="PN61" s="945"/>
      <c r="PO61" s="945"/>
      <c r="PP61" s="945"/>
      <c r="PQ61" s="945"/>
      <c r="PR61" s="945"/>
      <c r="PS61" s="945"/>
      <c r="PT61" s="945"/>
      <c r="PU61" s="945"/>
      <c r="PV61" s="945"/>
      <c r="PW61" s="945"/>
      <c r="PX61" s="945"/>
      <c r="PY61" s="945"/>
      <c r="PZ61" s="945"/>
      <c r="QA61" s="945"/>
      <c r="QB61" s="945"/>
      <c r="QC61" s="945"/>
      <c r="QD61" s="945"/>
      <c r="QE61" s="945"/>
      <c r="QF61" s="945"/>
      <c r="QG61" s="945"/>
      <c r="QH61" s="945"/>
      <c r="QI61" s="945"/>
      <c r="QJ61" s="945"/>
      <c r="QK61" s="945"/>
      <c r="QL61" s="945"/>
      <c r="QM61" s="945"/>
      <c r="QN61" s="945"/>
      <c r="QO61" s="945"/>
      <c r="QP61" s="945"/>
      <c r="QQ61" s="945"/>
      <c r="QR61" s="945"/>
      <c r="QS61" s="945"/>
      <c r="QT61" s="945"/>
      <c r="QU61" s="945"/>
      <c r="QV61" s="945"/>
      <c r="QW61" s="945"/>
      <c r="QX61" s="945"/>
      <c r="QY61" s="945"/>
      <c r="QZ61" s="945"/>
      <c r="RA61" s="945"/>
      <c r="RB61" s="945"/>
      <c r="RC61" s="945"/>
      <c r="RD61" s="945"/>
      <c r="RE61" s="945"/>
      <c r="RF61" s="945"/>
      <c r="RG61" s="945"/>
      <c r="RH61" s="945"/>
      <c r="RI61" s="945"/>
      <c r="RJ61" s="945"/>
      <c r="RK61" s="945"/>
      <c r="RL61" s="945"/>
      <c r="RM61" s="945"/>
      <c r="RN61" s="945"/>
      <c r="RO61" s="945"/>
      <c r="RP61" s="945"/>
      <c r="RQ61" s="945"/>
      <c r="RR61" s="945"/>
      <c r="RS61" s="945"/>
      <c r="RT61" s="945"/>
      <c r="RU61" s="945"/>
      <c r="RV61" s="945"/>
      <c r="RW61" s="945"/>
      <c r="RX61" s="945"/>
    </row>
    <row r="62" spans="1:492" s="165" customFormat="1">
      <c r="A62" s="945"/>
      <c r="B62" s="945"/>
      <c r="C62" s="945"/>
      <c r="D62" s="945"/>
      <c r="E62" s="945"/>
      <c r="F62" s="945"/>
      <c r="G62" s="945"/>
      <c r="H62" s="945"/>
      <c r="I62" s="945"/>
      <c r="J62" s="945"/>
      <c r="K62" s="945"/>
      <c r="L62" s="945"/>
      <c r="M62" s="945"/>
      <c r="N62" s="945"/>
      <c r="O62" s="945"/>
      <c r="P62" s="945"/>
      <c r="Q62" s="945"/>
      <c r="R62" s="945"/>
      <c r="S62" s="945"/>
      <c r="T62" s="945"/>
      <c r="U62" s="945"/>
      <c r="V62" s="945"/>
      <c r="W62" s="945"/>
      <c r="X62" s="945"/>
      <c r="Y62" s="945"/>
      <c r="Z62" s="945"/>
      <c r="AA62" s="945"/>
      <c r="AB62" s="945"/>
      <c r="AC62" s="945"/>
      <c r="AD62" s="945"/>
      <c r="AE62" s="945"/>
      <c r="AF62" s="945"/>
      <c r="AG62" s="945"/>
      <c r="AH62" s="945"/>
      <c r="AI62" s="945"/>
      <c r="AJ62" s="945"/>
      <c r="AK62" s="945"/>
      <c r="AL62" s="945"/>
      <c r="AM62" s="948"/>
      <c r="AN62" s="948"/>
      <c r="AO62" s="948"/>
      <c r="AP62" s="948"/>
      <c r="AQ62" s="948"/>
      <c r="AR62" s="948"/>
      <c r="AS62" s="948"/>
      <c r="AT62" s="948"/>
      <c r="AU62" s="948"/>
      <c r="AV62" s="948"/>
      <c r="AW62" s="948"/>
      <c r="AX62" s="948"/>
      <c r="AY62" s="948"/>
      <c r="AZ62" s="948"/>
      <c r="BA62" s="948"/>
      <c r="BB62" s="948"/>
      <c r="BC62" s="948"/>
      <c r="BD62" s="948"/>
      <c r="BE62" s="948"/>
      <c r="BF62" s="948"/>
      <c r="BG62" s="948"/>
      <c r="BH62" s="948"/>
      <c r="BI62" s="948"/>
      <c r="BJ62" s="948"/>
      <c r="BK62" s="948"/>
      <c r="BL62" s="948"/>
      <c r="BM62" s="948"/>
      <c r="BN62" s="948"/>
      <c r="BO62" s="948"/>
      <c r="BP62" s="948"/>
      <c r="BQ62" s="948"/>
      <c r="BR62" s="948"/>
      <c r="BS62" s="948"/>
      <c r="BT62" s="948"/>
      <c r="BU62" s="948"/>
      <c r="BV62" s="948"/>
      <c r="BW62" s="948"/>
      <c r="BX62" s="948"/>
      <c r="BY62" s="948"/>
      <c r="BZ62" s="948"/>
      <c r="CA62" s="945"/>
      <c r="CB62" s="945"/>
      <c r="CC62" s="945"/>
      <c r="CD62" s="945"/>
      <c r="CE62" s="945"/>
      <c r="CF62" s="945"/>
      <c r="CG62" s="945"/>
      <c r="CH62" s="945"/>
      <c r="CI62" s="945"/>
      <c r="CJ62" s="945"/>
      <c r="CK62" s="945"/>
      <c r="CL62" s="945"/>
      <c r="CM62" s="945"/>
      <c r="CN62" s="945"/>
      <c r="CO62" s="945"/>
      <c r="CP62" s="945"/>
      <c r="CQ62" s="945"/>
      <c r="CR62" s="945"/>
      <c r="CS62" s="945"/>
      <c r="CT62" s="945"/>
      <c r="CU62" s="945"/>
      <c r="CV62" s="945"/>
      <c r="CW62" s="945"/>
      <c r="CX62" s="945"/>
      <c r="CY62" s="945"/>
      <c r="CZ62" s="945"/>
      <c r="DA62" s="945"/>
      <c r="DB62" s="945"/>
      <c r="DC62" s="945"/>
      <c r="DD62" s="945"/>
      <c r="DE62" s="945"/>
      <c r="DF62" s="945"/>
      <c r="DG62" s="945"/>
      <c r="DH62" s="945"/>
      <c r="DI62" s="945"/>
      <c r="DJ62" s="945"/>
      <c r="DK62" s="945"/>
      <c r="DL62" s="945"/>
      <c r="DM62" s="945"/>
      <c r="DN62" s="945"/>
      <c r="DO62" s="945"/>
      <c r="DP62" s="945"/>
      <c r="DQ62" s="945"/>
      <c r="DR62" s="945"/>
      <c r="DS62" s="945"/>
      <c r="DT62" s="945"/>
      <c r="DU62" s="945"/>
      <c r="DV62" s="945"/>
      <c r="DW62" s="945"/>
      <c r="DX62" s="945"/>
      <c r="DY62" s="945"/>
      <c r="DZ62" s="945"/>
      <c r="EA62" s="945"/>
      <c r="EB62" s="945"/>
      <c r="EC62" s="945"/>
      <c r="ED62" s="945"/>
      <c r="EE62" s="945"/>
      <c r="EF62" s="945"/>
      <c r="EG62" s="945"/>
      <c r="EH62" s="945"/>
      <c r="EI62" s="945"/>
      <c r="EJ62" s="945"/>
      <c r="EK62" s="945"/>
      <c r="EL62" s="945"/>
      <c r="EM62" s="945"/>
      <c r="EN62" s="945"/>
      <c r="EO62" s="945"/>
      <c r="EP62" s="945"/>
      <c r="EQ62" s="945"/>
      <c r="ER62" s="945"/>
      <c r="ES62" s="945"/>
      <c r="ET62" s="945"/>
      <c r="EU62" s="945"/>
      <c r="EV62" s="945"/>
      <c r="EW62" s="945"/>
      <c r="EX62" s="945"/>
      <c r="EY62" s="945"/>
      <c r="EZ62" s="945"/>
      <c r="FA62" s="945"/>
      <c r="FB62" s="945"/>
      <c r="FC62" s="945"/>
      <c r="FD62" s="945"/>
      <c r="FE62" s="945"/>
      <c r="FF62" s="945"/>
      <c r="FG62" s="945"/>
      <c r="FH62" s="945"/>
      <c r="FI62" s="945"/>
      <c r="FJ62" s="945"/>
      <c r="FK62" s="945"/>
      <c r="FL62" s="945"/>
      <c r="FM62" s="945"/>
      <c r="FN62" s="945"/>
      <c r="FO62" s="945"/>
      <c r="FP62" s="945"/>
      <c r="FQ62" s="945"/>
      <c r="FR62" s="945"/>
      <c r="FS62" s="945"/>
      <c r="FT62" s="945"/>
      <c r="FU62" s="945"/>
      <c r="FV62" s="945"/>
      <c r="FW62" s="945"/>
      <c r="FX62" s="945"/>
      <c r="FY62" s="945"/>
      <c r="FZ62" s="945"/>
      <c r="GA62" s="945"/>
      <c r="GB62" s="945"/>
      <c r="GC62" s="945"/>
      <c r="GD62" s="945"/>
      <c r="GE62" s="945"/>
      <c r="GF62" s="945"/>
      <c r="GG62" s="945"/>
      <c r="GH62" s="945"/>
      <c r="GI62" s="945"/>
      <c r="GJ62" s="945"/>
      <c r="GK62" s="945"/>
      <c r="GL62" s="945"/>
      <c r="GM62" s="945"/>
      <c r="GN62" s="945"/>
      <c r="GO62" s="945"/>
      <c r="GP62" s="945"/>
      <c r="GQ62" s="945"/>
      <c r="GR62" s="945"/>
      <c r="GS62" s="945"/>
      <c r="GT62" s="945"/>
      <c r="GU62" s="945"/>
      <c r="GV62" s="945"/>
      <c r="GW62" s="945"/>
      <c r="GX62" s="945"/>
      <c r="GY62" s="945"/>
      <c r="GZ62" s="945"/>
      <c r="HA62" s="945"/>
      <c r="HB62" s="945"/>
      <c r="HC62" s="945"/>
      <c r="HD62" s="945"/>
      <c r="HE62" s="945"/>
      <c r="HF62" s="945"/>
      <c r="HG62" s="945"/>
      <c r="HH62" s="945"/>
      <c r="HI62" s="945"/>
      <c r="HJ62" s="945"/>
      <c r="HK62" s="945"/>
      <c r="HL62" s="945"/>
      <c r="HM62" s="945"/>
      <c r="HN62" s="945"/>
      <c r="HO62" s="945"/>
      <c r="HP62" s="945"/>
      <c r="HQ62" s="945"/>
      <c r="HR62" s="945"/>
      <c r="HS62" s="945"/>
      <c r="HT62" s="945"/>
      <c r="HU62" s="945"/>
      <c r="HV62" s="945"/>
      <c r="HW62" s="945"/>
      <c r="HX62" s="945"/>
      <c r="HY62" s="945"/>
      <c r="HZ62" s="945"/>
      <c r="IA62" s="945"/>
      <c r="IB62" s="945"/>
      <c r="IC62" s="945"/>
      <c r="ID62" s="945"/>
      <c r="IE62" s="945"/>
      <c r="IF62" s="945"/>
      <c r="IG62" s="945"/>
      <c r="IH62" s="945"/>
      <c r="II62" s="945"/>
      <c r="IJ62" s="945"/>
      <c r="IK62" s="945"/>
      <c r="IL62" s="945"/>
      <c r="IM62" s="945"/>
      <c r="IN62" s="945"/>
      <c r="IO62" s="945"/>
      <c r="IP62" s="945"/>
      <c r="IQ62" s="945"/>
      <c r="IR62" s="945"/>
      <c r="IS62" s="945"/>
      <c r="IT62" s="945"/>
      <c r="IU62" s="945"/>
      <c r="IV62" s="945"/>
      <c r="IW62" s="945"/>
      <c r="IX62" s="945"/>
      <c r="IY62" s="945"/>
      <c r="IZ62" s="945"/>
      <c r="JA62" s="945"/>
      <c r="JB62" s="945"/>
      <c r="JC62" s="945"/>
      <c r="JD62" s="945"/>
      <c r="JE62" s="945"/>
      <c r="JF62" s="945"/>
      <c r="JG62" s="945"/>
      <c r="JH62" s="945"/>
      <c r="JI62" s="945"/>
      <c r="JJ62" s="945"/>
      <c r="JK62" s="945"/>
      <c r="JL62" s="945"/>
      <c r="JM62" s="945"/>
      <c r="JN62" s="945"/>
      <c r="JO62" s="945"/>
      <c r="JP62" s="945"/>
      <c r="JQ62" s="945"/>
      <c r="JR62" s="945"/>
      <c r="JS62" s="945"/>
      <c r="JT62" s="945"/>
      <c r="JU62" s="945"/>
      <c r="JV62" s="945"/>
      <c r="JW62" s="945"/>
      <c r="JX62" s="945"/>
      <c r="JY62" s="945"/>
      <c r="JZ62" s="945"/>
      <c r="KA62" s="945"/>
      <c r="KB62" s="945"/>
      <c r="KC62" s="945"/>
      <c r="KD62" s="945"/>
      <c r="KE62" s="945"/>
      <c r="KF62" s="945"/>
      <c r="KG62" s="945"/>
      <c r="KH62" s="945"/>
      <c r="KI62" s="945"/>
      <c r="KJ62" s="945"/>
      <c r="KK62" s="945"/>
      <c r="KL62" s="945"/>
      <c r="KM62" s="945"/>
      <c r="KN62" s="945"/>
      <c r="KO62" s="945"/>
      <c r="KP62" s="945"/>
      <c r="KQ62" s="945"/>
      <c r="KR62" s="945"/>
      <c r="KS62" s="945"/>
      <c r="KT62" s="945"/>
      <c r="KU62" s="945"/>
      <c r="KV62" s="945"/>
      <c r="KW62" s="945"/>
      <c r="KX62" s="945"/>
      <c r="KY62" s="945"/>
      <c r="KZ62" s="945"/>
      <c r="LA62" s="945"/>
      <c r="LB62" s="945"/>
      <c r="LC62" s="945"/>
      <c r="LD62" s="945"/>
      <c r="LE62" s="945"/>
      <c r="LF62" s="945"/>
      <c r="LG62" s="945"/>
      <c r="LH62" s="945"/>
      <c r="LI62" s="945"/>
      <c r="LJ62" s="945"/>
      <c r="LK62" s="945"/>
      <c r="LL62" s="945"/>
      <c r="LM62" s="945"/>
      <c r="LN62" s="945"/>
      <c r="LO62" s="945"/>
      <c r="LP62" s="945"/>
      <c r="LQ62" s="945"/>
      <c r="LR62" s="945"/>
      <c r="LS62" s="945"/>
      <c r="LT62" s="945"/>
      <c r="LU62" s="945"/>
      <c r="LV62" s="945"/>
      <c r="LW62" s="945"/>
      <c r="LX62" s="945"/>
      <c r="LY62" s="945"/>
      <c r="LZ62" s="945"/>
      <c r="MA62" s="945"/>
      <c r="MB62" s="945"/>
      <c r="MC62" s="945"/>
      <c r="MD62" s="945"/>
      <c r="ME62" s="945"/>
      <c r="MF62" s="945"/>
      <c r="MG62" s="945"/>
      <c r="MH62" s="945"/>
      <c r="MI62" s="945"/>
      <c r="MJ62" s="945"/>
      <c r="MK62" s="945"/>
      <c r="ML62" s="945"/>
      <c r="MM62" s="945"/>
      <c r="MN62" s="945"/>
      <c r="MO62" s="945"/>
      <c r="MP62" s="945"/>
      <c r="MQ62" s="945"/>
      <c r="MR62" s="945"/>
      <c r="MS62" s="945"/>
      <c r="MT62" s="945"/>
      <c r="MU62" s="945"/>
      <c r="MV62" s="945"/>
      <c r="MW62" s="945"/>
      <c r="MX62" s="945"/>
      <c r="MY62" s="945"/>
      <c r="MZ62" s="945"/>
      <c r="NA62" s="945"/>
      <c r="NB62" s="945"/>
      <c r="NC62" s="945"/>
      <c r="ND62" s="945"/>
      <c r="NE62" s="945"/>
      <c r="NF62" s="945"/>
      <c r="NG62" s="945"/>
      <c r="NH62" s="945"/>
      <c r="NI62" s="945"/>
      <c r="NJ62" s="945"/>
      <c r="NK62" s="945"/>
      <c r="NL62" s="945"/>
      <c r="NM62" s="945"/>
      <c r="NN62" s="945"/>
      <c r="NO62" s="945"/>
      <c r="NP62" s="945"/>
      <c r="NQ62" s="945"/>
      <c r="NR62" s="945"/>
      <c r="NS62" s="945"/>
      <c r="NT62" s="945"/>
      <c r="NU62" s="945"/>
      <c r="NV62" s="945"/>
      <c r="NW62" s="945"/>
      <c r="NX62" s="945"/>
      <c r="NY62" s="945"/>
      <c r="NZ62" s="945"/>
      <c r="OA62" s="945"/>
      <c r="OB62" s="945"/>
      <c r="OC62" s="945"/>
      <c r="OD62" s="945"/>
      <c r="OE62" s="945"/>
      <c r="OF62" s="945"/>
      <c r="OG62" s="945"/>
      <c r="OH62" s="945"/>
      <c r="OI62" s="945"/>
      <c r="OJ62" s="945"/>
      <c r="OK62" s="945"/>
      <c r="OL62" s="945"/>
      <c r="OM62" s="945"/>
      <c r="ON62" s="945"/>
      <c r="OO62" s="945"/>
      <c r="OP62" s="945"/>
      <c r="OQ62" s="945"/>
      <c r="OR62" s="945"/>
      <c r="OS62" s="945"/>
      <c r="OT62" s="945"/>
      <c r="OU62" s="945"/>
      <c r="OV62" s="945"/>
      <c r="OW62" s="945"/>
      <c r="OX62" s="945"/>
      <c r="OY62" s="945"/>
      <c r="OZ62" s="945"/>
      <c r="PA62" s="945"/>
      <c r="PB62" s="945"/>
      <c r="PC62" s="945"/>
      <c r="PD62" s="945"/>
      <c r="PE62" s="945"/>
      <c r="PF62" s="945"/>
      <c r="PG62" s="945"/>
      <c r="PH62" s="945"/>
      <c r="PI62" s="945"/>
      <c r="PJ62" s="945"/>
      <c r="PK62" s="945"/>
      <c r="PL62" s="945"/>
      <c r="PM62" s="945"/>
      <c r="PN62" s="945"/>
      <c r="PO62" s="945"/>
      <c r="PP62" s="945"/>
      <c r="PQ62" s="945"/>
      <c r="PR62" s="945"/>
      <c r="PS62" s="945"/>
      <c r="PT62" s="945"/>
      <c r="PU62" s="945"/>
      <c r="PV62" s="945"/>
      <c r="PW62" s="945"/>
      <c r="PX62" s="945"/>
      <c r="PY62" s="945"/>
      <c r="PZ62" s="945"/>
      <c r="QA62" s="945"/>
      <c r="QB62" s="945"/>
      <c r="QC62" s="945"/>
      <c r="QD62" s="945"/>
      <c r="QE62" s="945"/>
      <c r="QF62" s="945"/>
      <c r="QG62" s="945"/>
      <c r="QH62" s="945"/>
      <c r="QI62" s="945"/>
      <c r="QJ62" s="945"/>
      <c r="QK62" s="945"/>
      <c r="QL62" s="945"/>
      <c r="QM62" s="945"/>
      <c r="QN62" s="945"/>
      <c r="QO62" s="945"/>
      <c r="QP62" s="945"/>
      <c r="QQ62" s="945"/>
      <c r="QR62" s="945"/>
      <c r="QS62" s="945"/>
      <c r="QT62" s="945"/>
      <c r="QU62" s="945"/>
      <c r="QV62" s="945"/>
      <c r="QW62" s="945"/>
      <c r="QX62" s="945"/>
      <c r="QY62" s="945"/>
      <c r="QZ62" s="945"/>
      <c r="RA62" s="945"/>
      <c r="RB62" s="945"/>
      <c r="RC62" s="945"/>
      <c r="RD62" s="945"/>
      <c r="RE62" s="945"/>
      <c r="RF62" s="945"/>
      <c r="RG62" s="945"/>
      <c r="RH62" s="945"/>
      <c r="RI62" s="945"/>
      <c r="RJ62" s="945"/>
      <c r="RK62" s="945"/>
      <c r="RL62" s="945"/>
      <c r="RM62" s="945"/>
      <c r="RN62" s="945"/>
      <c r="RO62" s="945"/>
      <c r="RP62" s="945"/>
      <c r="RQ62" s="945"/>
      <c r="RR62" s="945"/>
      <c r="RS62" s="945"/>
      <c r="RT62" s="945"/>
      <c r="RU62" s="945"/>
      <c r="RV62" s="945"/>
      <c r="RW62" s="945"/>
      <c r="RX62" s="945"/>
    </row>
    <row r="63" spans="1:492" s="165" customFormat="1">
      <c r="A63" s="945"/>
      <c r="B63" s="945"/>
      <c r="C63" s="945"/>
      <c r="D63" s="945"/>
      <c r="E63" s="945"/>
      <c r="F63" s="945"/>
      <c r="G63" s="945"/>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8"/>
      <c r="AN63" s="948"/>
      <c r="AO63" s="948"/>
      <c r="AP63" s="948"/>
      <c r="AQ63" s="948"/>
      <c r="AR63" s="948"/>
      <c r="AS63" s="948"/>
      <c r="AT63" s="948"/>
      <c r="AU63" s="948"/>
      <c r="AV63" s="948"/>
      <c r="AW63" s="948"/>
      <c r="AX63" s="948"/>
      <c r="AY63" s="948"/>
      <c r="AZ63" s="948"/>
      <c r="BA63" s="948"/>
      <c r="BB63" s="948"/>
      <c r="BC63" s="948"/>
      <c r="BD63" s="948"/>
      <c r="BE63" s="948"/>
      <c r="BF63" s="948"/>
      <c r="BG63" s="948"/>
      <c r="BH63" s="948"/>
      <c r="BI63" s="948"/>
      <c r="BJ63" s="948"/>
      <c r="BK63" s="948"/>
      <c r="BL63" s="948"/>
      <c r="BM63" s="948"/>
      <c r="BN63" s="948"/>
      <c r="BO63" s="948"/>
      <c r="BP63" s="948"/>
      <c r="BQ63" s="948"/>
      <c r="BR63" s="948"/>
      <c r="BS63" s="948"/>
      <c r="BT63" s="948"/>
      <c r="BU63" s="948"/>
      <c r="BV63" s="948"/>
      <c r="BW63" s="948"/>
      <c r="BX63" s="948"/>
      <c r="BY63" s="948"/>
      <c r="BZ63" s="948"/>
      <c r="CA63" s="945"/>
      <c r="CB63" s="945"/>
      <c r="CC63" s="945"/>
      <c r="CD63" s="945"/>
      <c r="CE63" s="945"/>
      <c r="CF63" s="945"/>
      <c r="CG63" s="945"/>
      <c r="CH63" s="945"/>
      <c r="CI63" s="945"/>
      <c r="CJ63" s="945"/>
      <c r="CK63" s="945"/>
      <c r="CL63" s="945"/>
      <c r="CM63" s="945"/>
      <c r="CN63" s="945"/>
      <c r="CO63" s="945"/>
      <c r="CP63" s="945"/>
      <c r="CQ63" s="945"/>
      <c r="CR63" s="945"/>
      <c r="CS63" s="945"/>
      <c r="CT63" s="945"/>
      <c r="CU63" s="945"/>
      <c r="CV63" s="945"/>
      <c r="CW63" s="945"/>
      <c r="CX63" s="945"/>
      <c r="CY63" s="945"/>
      <c r="CZ63" s="945"/>
      <c r="DA63" s="945"/>
      <c r="DB63" s="945"/>
      <c r="DC63" s="945"/>
      <c r="DD63" s="945"/>
      <c r="DE63" s="945"/>
      <c r="DF63" s="945"/>
      <c r="DG63" s="945"/>
      <c r="DH63" s="945"/>
      <c r="DI63" s="945"/>
      <c r="DJ63" s="945"/>
      <c r="DK63" s="945"/>
      <c r="DL63" s="945"/>
      <c r="DM63" s="945"/>
      <c r="DN63" s="945"/>
      <c r="DO63" s="945"/>
      <c r="DP63" s="945"/>
      <c r="DQ63" s="945"/>
      <c r="DR63" s="945"/>
      <c r="DS63" s="945"/>
      <c r="DT63" s="945"/>
      <c r="DU63" s="945"/>
      <c r="DV63" s="945"/>
      <c r="DW63" s="945"/>
      <c r="DX63" s="945"/>
      <c r="DY63" s="945"/>
      <c r="DZ63" s="945"/>
      <c r="EA63" s="945"/>
      <c r="EB63" s="945"/>
      <c r="EC63" s="945"/>
      <c r="ED63" s="945"/>
      <c r="EE63" s="945"/>
      <c r="EF63" s="945"/>
      <c r="EG63" s="945"/>
      <c r="EH63" s="945"/>
      <c r="EI63" s="945"/>
      <c r="EJ63" s="945"/>
      <c r="EK63" s="945"/>
      <c r="EL63" s="945"/>
      <c r="EM63" s="945"/>
      <c r="EN63" s="945"/>
      <c r="EO63" s="945"/>
      <c r="EP63" s="945"/>
      <c r="EQ63" s="945"/>
      <c r="ER63" s="945"/>
      <c r="ES63" s="945"/>
      <c r="ET63" s="945"/>
      <c r="EU63" s="945"/>
      <c r="EV63" s="945"/>
      <c r="EW63" s="945"/>
      <c r="EX63" s="945"/>
      <c r="EY63" s="945"/>
      <c r="EZ63" s="945"/>
      <c r="FA63" s="945"/>
      <c r="FB63" s="945"/>
      <c r="FC63" s="945"/>
      <c r="FD63" s="945"/>
      <c r="FE63" s="945"/>
      <c r="FF63" s="945"/>
      <c r="FG63" s="945"/>
      <c r="FH63" s="945"/>
      <c r="FI63" s="945"/>
      <c r="FJ63" s="945"/>
      <c r="FK63" s="945"/>
      <c r="FL63" s="945"/>
      <c r="FM63" s="945"/>
      <c r="FN63" s="945"/>
      <c r="FO63" s="945"/>
      <c r="FP63" s="945"/>
      <c r="FQ63" s="945"/>
      <c r="FR63" s="945"/>
      <c r="FS63" s="945"/>
      <c r="FT63" s="945"/>
      <c r="FU63" s="945"/>
      <c r="FV63" s="945"/>
      <c r="FW63" s="945"/>
      <c r="FX63" s="945"/>
      <c r="FY63" s="945"/>
      <c r="FZ63" s="945"/>
      <c r="GA63" s="945"/>
      <c r="GB63" s="945"/>
      <c r="GC63" s="945"/>
      <c r="GD63" s="945"/>
      <c r="GE63" s="945"/>
      <c r="GF63" s="945"/>
      <c r="GG63" s="945"/>
      <c r="GH63" s="945"/>
      <c r="GI63" s="945"/>
      <c r="GJ63" s="945"/>
      <c r="GK63" s="945"/>
      <c r="GL63" s="945"/>
      <c r="GM63" s="945"/>
      <c r="GN63" s="945"/>
      <c r="GO63" s="945"/>
      <c r="GP63" s="945"/>
      <c r="GQ63" s="945"/>
      <c r="GR63" s="945"/>
      <c r="GS63" s="945"/>
      <c r="GT63" s="945"/>
      <c r="GU63" s="945"/>
      <c r="GV63" s="945"/>
      <c r="GW63" s="945"/>
      <c r="GX63" s="945"/>
      <c r="GY63" s="945"/>
      <c r="GZ63" s="945"/>
      <c r="HA63" s="945"/>
      <c r="HB63" s="945"/>
      <c r="HC63" s="945"/>
      <c r="HD63" s="945"/>
      <c r="HE63" s="945"/>
      <c r="HF63" s="945"/>
      <c r="HG63" s="945"/>
      <c r="HH63" s="945"/>
      <c r="HI63" s="945"/>
      <c r="HJ63" s="945"/>
      <c r="HK63" s="945"/>
      <c r="HL63" s="945"/>
      <c r="HM63" s="945"/>
      <c r="HN63" s="945"/>
      <c r="HO63" s="945"/>
      <c r="HP63" s="945"/>
      <c r="HQ63" s="945"/>
      <c r="HR63" s="945"/>
      <c r="HS63" s="945"/>
      <c r="HT63" s="945"/>
      <c r="HU63" s="945"/>
      <c r="HV63" s="945"/>
      <c r="HW63" s="945"/>
      <c r="HX63" s="945"/>
      <c r="HY63" s="945"/>
      <c r="HZ63" s="945"/>
      <c r="IA63" s="945"/>
      <c r="IB63" s="945"/>
      <c r="IC63" s="945"/>
      <c r="ID63" s="945"/>
      <c r="IE63" s="945"/>
      <c r="IF63" s="945"/>
      <c r="IG63" s="945"/>
      <c r="IH63" s="945"/>
      <c r="II63" s="945"/>
      <c r="IJ63" s="945"/>
      <c r="IK63" s="945"/>
      <c r="IL63" s="945"/>
      <c r="IM63" s="945"/>
      <c r="IN63" s="945"/>
      <c r="IO63" s="945"/>
      <c r="IP63" s="945"/>
      <c r="IQ63" s="945"/>
      <c r="IR63" s="945"/>
      <c r="IS63" s="945"/>
      <c r="IT63" s="945"/>
      <c r="IU63" s="945"/>
      <c r="IV63" s="945"/>
      <c r="IW63" s="945"/>
      <c r="IX63" s="945"/>
      <c r="IY63" s="945"/>
      <c r="IZ63" s="945"/>
      <c r="JA63" s="945"/>
      <c r="JB63" s="945"/>
      <c r="JC63" s="945"/>
      <c r="JD63" s="945"/>
      <c r="JE63" s="945"/>
      <c r="JF63" s="945"/>
      <c r="JG63" s="945"/>
      <c r="JH63" s="945"/>
      <c r="JI63" s="945"/>
      <c r="JJ63" s="945"/>
      <c r="JK63" s="945"/>
      <c r="JL63" s="945"/>
      <c r="JM63" s="945"/>
      <c r="JN63" s="945"/>
      <c r="JO63" s="945"/>
      <c r="JP63" s="945"/>
      <c r="JQ63" s="945"/>
      <c r="JR63" s="945"/>
      <c r="JS63" s="945"/>
      <c r="JT63" s="945"/>
      <c r="JU63" s="945"/>
      <c r="JV63" s="945"/>
      <c r="JW63" s="945"/>
      <c r="JX63" s="945"/>
      <c r="JY63" s="945"/>
      <c r="JZ63" s="945"/>
      <c r="KA63" s="945"/>
      <c r="KB63" s="945"/>
      <c r="KC63" s="945"/>
      <c r="KD63" s="945"/>
      <c r="KE63" s="945"/>
      <c r="KF63" s="945"/>
      <c r="KG63" s="945"/>
      <c r="KH63" s="945"/>
      <c r="KI63" s="945"/>
      <c r="KJ63" s="945"/>
      <c r="KK63" s="945"/>
      <c r="KL63" s="945"/>
      <c r="KM63" s="945"/>
      <c r="KN63" s="945"/>
      <c r="KO63" s="945"/>
      <c r="KP63" s="945"/>
      <c r="KQ63" s="945"/>
      <c r="KR63" s="945"/>
      <c r="KS63" s="945"/>
      <c r="KT63" s="945"/>
      <c r="KU63" s="945"/>
      <c r="KV63" s="945"/>
      <c r="KW63" s="945"/>
      <c r="KX63" s="945"/>
      <c r="KY63" s="945"/>
      <c r="KZ63" s="945"/>
      <c r="LA63" s="945"/>
      <c r="LB63" s="945"/>
      <c r="LC63" s="945"/>
      <c r="LD63" s="945"/>
      <c r="LE63" s="945"/>
      <c r="LF63" s="945"/>
      <c r="LG63" s="945"/>
      <c r="LH63" s="945"/>
      <c r="LI63" s="945"/>
      <c r="LJ63" s="945"/>
      <c r="LK63" s="945"/>
      <c r="LL63" s="945"/>
      <c r="LM63" s="945"/>
      <c r="LN63" s="945"/>
      <c r="LO63" s="945"/>
      <c r="LP63" s="945"/>
      <c r="LQ63" s="945"/>
      <c r="LR63" s="945"/>
      <c r="LS63" s="945"/>
      <c r="LT63" s="945"/>
      <c r="LU63" s="945"/>
      <c r="LV63" s="945"/>
      <c r="LW63" s="945"/>
      <c r="LX63" s="945"/>
      <c r="LY63" s="945"/>
      <c r="LZ63" s="945"/>
      <c r="MA63" s="945"/>
      <c r="MB63" s="945"/>
      <c r="MC63" s="945"/>
      <c r="MD63" s="945"/>
      <c r="ME63" s="945"/>
      <c r="MF63" s="945"/>
      <c r="MG63" s="945"/>
      <c r="MH63" s="945"/>
      <c r="MI63" s="945"/>
      <c r="MJ63" s="945"/>
      <c r="MK63" s="945"/>
      <c r="ML63" s="945"/>
      <c r="MM63" s="945"/>
      <c r="MN63" s="945"/>
      <c r="MO63" s="945"/>
      <c r="MP63" s="945"/>
      <c r="MQ63" s="945"/>
      <c r="MR63" s="945"/>
      <c r="MS63" s="945"/>
      <c r="MT63" s="945"/>
      <c r="MU63" s="945"/>
      <c r="MV63" s="945"/>
      <c r="MW63" s="945"/>
      <c r="MX63" s="945"/>
      <c r="MY63" s="945"/>
      <c r="MZ63" s="945"/>
      <c r="NA63" s="945"/>
      <c r="NB63" s="945"/>
      <c r="NC63" s="945"/>
      <c r="ND63" s="945"/>
      <c r="NE63" s="945"/>
      <c r="NF63" s="945"/>
      <c r="NG63" s="945"/>
      <c r="NH63" s="945"/>
      <c r="NI63" s="945"/>
      <c r="NJ63" s="945"/>
      <c r="NK63" s="945"/>
      <c r="NL63" s="945"/>
      <c r="NM63" s="945"/>
      <c r="NN63" s="945"/>
      <c r="NO63" s="945"/>
      <c r="NP63" s="945"/>
      <c r="NQ63" s="945"/>
      <c r="NR63" s="945"/>
      <c r="NS63" s="945"/>
      <c r="NT63" s="945"/>
      <c r="NU63" s="945"/>
      <c r="NV63" s="945"/>
      <c r="NW63" s="945"/>
      <c r="NX63" s="945"/>
      <c r="NY63" s="945"/>
      <c r="NZ63" s="945"/>
      <c r="OA63" s="945"/>
      <c r="OB63" s="945"/>
      <c r="OC63" s="945"/>
      <c r="OD63" s="945"/>
      <c r="OE63" s="945"/>
      <c r="OF63" s="945"/>
      <c r="OG63" s="945"/>
      <c r="OH63" s="945"/>
      <c r="OI63" s="945"/>
      <c r="OJ63" s="945"/>
      <c r="OK63" s="945"/>
      <c r="OL63" s="945"/>
      <c r="OM63" s="945"/>
      <c r="ON63" s="945"/>
      <c r="OO63" s="945"/>
      <c r="OP63" s="945"/>
      <c r="OQ63" s="945"/>
      <c r="OR63" s="945"/>
      <c r="OS63" s="945"/>
      <c r="OT63" s="945"/>
      <c r="OU63" s="945"/>
      <c r="OV63" s="945"/>
      <c r="OW63" s="945"/>
      <c r="OX63" s="945"/>
      <c r="OY63" s="945"/>
      <c r="OZ63" s="945"/>
      <c r="PA63" s="945"/>
      <c r="PB63" s="945"/>
      <c r="PC63" s="945"/>
      <c r="PD63" s="945"/>
      <c r="PE63" s="945"/>
      <c r="PF63" s="945"/>
      <c r="PG63" s="945"/>
      <c r="PH63" s="945"/>
      <c r="PI63" s="945"/>
      <c r="PJ63" s="945"/>
      <c r="PK63" s="945"/>
      <c r="PL63" s="945"/>
      <c r="PM63" s="945"/>
      <c r="PN63" s="945"/>
      <c r="PO63" s="945"/>
      <c r="PP63" s="945"/>
      <c r="PQ63" s="945"/>
      <c r="PR63" s="945"/>
      <c r="PS63" s="945"/>
      <c r="PT63" s="945"/>
      <c r="PU63" s="945"/>
      <c r="PV63" s="945"/>
      <c r="PW63" s="945"/>
      <c r="PX63" s="945"/>
      <c r="PY63" s="945"/>
      <c r="PZ63" s="945"/>
      <c r="QA63" s="945"/>
      <c r="QB63" s="945"/>
      <c r="QC63" s="945"/>
      <c r="QD63" s="945"/>
      <c r="QE63" s="945"/>
      <c r="QF63" s="945"/>
      <c r="QG63" s="945"/>
      <c r="QH63" s="945"/>
      <c r="QI63" s="945"/>
      <c r="QJ63" s="945"/>
      <c r="QK63" s="945"/>
      <c r="QL63" s="945"/>
      <c r="QM63" s="945"/>
      <c r="QN63" s="945"/>
      <c r="QO63" s="945"/>
      <c r="QP63" s="945"/>
      <c r="QQ63" s="945"/>
      <c r="QR63" s="945"/>
      <c r="QS63" s="945"/>
      <c r="QT63" s="945"/>
      <c r="QU63" s="945"/>
      <c r="QV63" s="945"/>
      <c r="QW63" s="945"/>
      <c r="QX63" s="945"/>
      <c r="QY63" s="945"/>
      <c r="QZ63" s="945"/>
      <c r="RA63" s="945"/>
      <c r="RB63" s="945"/>
      <c r="RC63" s="945"/>
      <c r="RD63" s="945"/>
      <c r="RE63" s="945"/>
      <c r="RF63" s="945"/>
      <c r="RG63" s="945"/>
      <c r="RH63" s="945"/>
      <c r="RI63" s="945"/>
      <c r="RJ63" s="945"/>
      <c r="RK63" s="945"/>
      <c r="RL63" s="945"/>
      <c r="RM63" s="945"/>
      <c r="RN63" s="945"/>
      <c r="RO63" s="945"/>
      <c r="RP63" s="945"/>
      <c r="RQ63" s="945"/>
      <c r="RR63" s="945"/>
      <c r="RS63" s="945"/>
      <c r="RT63" s="945"/>
      <c r="RU63" s="945"/>
      <c r="RV63" s="945"/>
      <c r="RW63" s="945"/>
      <c r="RX63" s="945"/>
    </row>
    <row r="64" spans="1:492" s="165" customFormat="1">
      <c r="A64" s="945"/>
      <c r="B64" s="945"/>
      <c r="C64" s="945"/>
      <c r="D64" s="945"/>
      <c r="E64" s="945"/>
      <c r="F64" s="945"/>
      <c r="G64" s="945"/>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8"/>
      <c r="AN64" s="948"/>
      <c r="AO64" s="948"/>
      <c r="AP64" s="948"/>
      <c r="AQ64" s="948"/>
      <c r="AR64" s="948"/>
      <c r="AS64" s="948"/>
      <c r="AT64" s="948"/>
      <c r="AU64" s="948"/>
      <c r="AV64" s="948"/>
      <c r="AW64" s="948"/>
      <c r="AX64" s="948"/>
      <c r="AY64" s="948"/>
      <c r="AZ64" s="948"/>
      <c r="BA64" s="948"/>
      <c r="BB64" s="948"/>
      <c r="BC64" s="948"/>
      <c r="BD64" s="948"/>
      <c r="BE64" s="948"/>
      <c r="BF64" s="948"/>
      <c r="BG64" s="948"/>
      <c r="BH64" s="948"/>
      <c r="BI64" s="948"/>
      <c r="BJ64" s="948"/>
      <c r="BK64" s="948"/>
      <c r="BL64" s="948"/>
      <c r="BM64" s="948"/>
      <c r="BN64" s="948"/>
      <c r="BO64" s="948"/>
      <c r="BP64" s="948"/>
      <c r="BQ64" s="948"/>
      <c r="BR64" s="948"/>
      <c r="BS64" s="948"/>
      <c r="BT64" s="948"/>
      <c r="BU64" s="948"/>
      <c r="BV64" s="948"/>
      <c r="BW64" s="948"/>
      <c r="BX64" s="948"/>
      <c r="BY64" s="948"/>
      <c r="BZ64" s="948"/>
      <c r="CA64" s="945"/>
      <c r="CB64" s="945"/>
      <c r="CC64" s="945"/>
      <c r="CD64" s="945"/>
      <c r="CE64" s="945"/>
      <c r="CF64" s="945"/>
      <c r="CG64" s="945"/>
      <c r="CH64" s="945"/>
      <c r="CI64" s="945"/>
      <c r="CJ64" s="945"/>
      <c r="CK64" s="945"/>
      <c r="CL64" s="945"/>
      <c r="CM64" s="945"/>
      <c r="CN64" s="945"/>
      <c r="CO64" s="945"/>
      <c r="CP64" s="945"/>
      <c r="CQ64" s="945"/>
      <c r="CR64" s="945"/>
      <c r="CS64" s="945"/>
      <c r="CT64" s="945"/>
      <c r="CU64" s="945"/>
      <c r="CV64" s="945"/>
      <c r="CW64" s="945"/>
      <c r="CX64" s="945"/>
      <c r="CY64" s="945"/>
      <c r="CZ64" s="945"/>
      <c r="DA64" s="945"/>
      <c r="DB64" s="945"/>
      <c r="DC64" s="945"/>
      <c r="DD64" s="945"/>
      <c r="DE64" s="945"/>
      <c r="DF64" s="945"/>
      <c r="DG64" s="945"/>
      <c r="DH64" s="945"/>
      <c r="DI64" s="945"/>
      <c r="DJ64" s="945"/>
      <c r="DK64" s="945"/>
      <c r="DL64" s="945"/>
      <c r="DM64" s="945"/>
      <c r="DN64" s="945"/>
      <c r="DO64" s="945"/>
      <c r="DP64" s="945"/>
      <c r="DQ64" s="945"/>
      <c r="DR64" s="945"/>
      <c r="DS64" s="945"/>
      <c r="DT64" s="945"/>
      <c r="DU64" s="945"/>
      <c r="DV64" s="945"/>
      <c r="DW64" s="945"/>
      <c r="DX64" s="945"/>
      <c r="DY64" s="945"/>
      <c r="DZ64" s="945"/>
      <c r="EA64" s="945"/>
      <c r="EB64" s="945"/>
      <c r="EC64" s="945"/>
      <c r="ED64" s="945"/>
      <c r="EE64" s="945"/>
      <c r="EF64" s="945"/>
      <c r="EG64" s="945"/>
      <c r="EH64" s="945"/>
      <c r="EI64" s="945"/>
      <c r="EJ64" s="945"/>
      <c r="EK64" s="945"/>
      <c r="EL64" s="945"/>
      <c r="EM64" s="945"/>
      <c r="EN64" s="945"/>
      <c r="EO64" s="945"/>
      <c r="EP64" s="945"/>
      <c r="EQ64" s="945"/>
      <c r="ER64" s="945"/>
      <c r="ES64" s="945"/>
      <c r="ET64" s="945"/>
      <c r="EU64" s="945"/>
      <c r="EV64" s="945"/>
      <c r="EW64" s="945"/>
      <c r="EX64" s="945"/>
      <c r="EY64" s="945"/>
      <c r="EZ64" s="945"/>
      <c r="FA64" s="945"/>
      <c r="FB64" s="945"/>
      <c r="FC64" s="945"/>
      <c r="FD64" s="945"/>
      <c r="FE64" s="945"/>
      <c r="FF64" s="945"/>
      <c r="FG64" s="945"/>
      <c r="FH64" s="945"/>
      <c r="FI64" s="945"/>
      <c r="FJ64" s="945"/>
      <c r="FK64" s="945"/>
      <c r="FL64" s="945"/>
      <c r="FM64" s="945"/>
      <c r="FN64" s="945"/>
      <c r="FO64" s="945"/>
      <c r="FP64" s="945"/>
      <c r="FQ64" s="945"/>
      <c r="FR64" s="945"/>
      <c r="FS64" s="945"/>
      <c r="FT64" s="945"/>
      <c r="FU64" s="945"/>
      <c r="FV64" s="945"/>
      <c r="FW64" s="945"/>
      <c r="FX64" s="945"/>
      <c r="FY64" s="945"/>
      <c r="FZ64" s="945"/>
      <c r="GA64" s="945"/>
      <c r="GB64" s="945"/>
      <c r="GC64" s="945"/>
      <c r="GD64" s="945"/>
      <c r="GE64" s="945"/>
      <c r="GF64" s="945"/>
      <c r="GG64" s="945"/>
      <c r="GH64" s="945"/>
      <c r="GI64" s="945"/>
      <c r="GJ64" s="945"/>
      <c r="GK64" s="945"/>
      <c r="GL64" s="945"/>
      <c r="GM64" s="945"/>
      <c r="GN64" s="945"/>
      <c r="GO64" s="945"/>
      <c r="GP64" s="945"/>
      <c r="GQ64" s="945"/>
      <c r="GR64" s="945"/>
      <c r="GS64" s="945"/>
      <c r="GT64" s="945"/>
      <c r="GU64" s="945"/>
      <c r="GV64" s="945"/>
      <c r="GW64" s="945"/>
      <c r="GX64" s="945"/>
      <c r="GY64" s="945"/>
      <c r="GZ64" s="945"/>
      <c r="HA64" s="945"/>
      <c r="HB64" s="945"/>
      <c r="HC64" s="945"/>
      <c r="HD64" s="945"/>
      <c r="HE64" s="945"/>
      <c r="HF64" s="945"/>
      <c r="HG64" s="945"/>
      <c r="HH64" s="945"/>
      <c r="HI64" s="945"/>
      <c r="HJ64" s="945"/>
      <c r="HK64" s="945"/>
      <c r="HL64" s="945"/>
      <c r="HM64" s="945"/>
      <c r="HN64" s="945"/>
      <c r="HO64" s="945"/>
      <c r="HP64" s="945"/>
      <c r="HQ64" s="945"/>
      <c r="HR64" s="945"/>
      <c r="HS64" s="945"/>
      <c r="HT64" s="945"/>
      <c r="HU64" s="945"/>
      <c r="HV64" s="945"/>
      <c r="HW64" s="945"/>
      <c r="HX64" s="945"/>
      <c r="HY64" s="945"/>
      <c r="HZ64" s="945"/>
      <c r="IA64" s="945"/>
      <c r="IB64" s="945"/>
      <c r="IC64" s="945"/>
      <c r="ID64" s="945"/>
      <c r="IE64" s="945"/>
      <c r="IF64" s="945"/>
      <c r="IG64" s="945"/>
      <c r="IH64" s="945"/>
      <c r="II64" s="945"/>
      <c r="IJ64" s="945"/>
      <c r="IK64" s="945"/>
      <c r="IL64" s="945"/>
      <c r="IM64" s="945"/>
      <c r="IN64" s="945"/>
      <c r="IO64" s="945"/>
      <c r="IP64" s="945"/>
      <c r="IQ64" s="945"/>
      <c r="IR64" s="945"/>
      <c r="IS64" s="945"/>
      <c r="IT64" s="945"/>
      <c r="IU64" s="945"/>
      <c r="IV64" s="945"/>
      <c r="IW64" s="945"/>
      <c r="IX64" s="945"/>
      <c r="IY64" s="945"/>
      <c r="IZ64" s="945"/>
      <c r="JA64" s="945"/>
      <c r="JB64" s="945"/>
      <c r="JC64" s="945"/>
      <c r="JD64" s="945"/>
      <c r="JE64" s="945"/>
      <c r="JF64" s="945"/>
      <c r="JG64" s="945"/>
      <c r="JH64" s="945"/>
      <c r="JI64" s="945"/>
      <c r="JJ64" s="945"/>
      <c r="JK64" s="945"/>
      <c r="JL64" s="945"/>
      <c r="JM64" s="945"/>
      <c r="JN64" s="945"/>
      <c r="JO64" s="945"/>
      <c r="JP64" s="945"/>
      <c r="JQ64" s="945"/>
      <c r="JR64" s="945"/>
      <c r="JS64" s="945"/>
      <c r="JT64" s="945"/>
      <c r="JU64" s="945"/>
      <c r="JV64" s="945"/>
      <c r="JW64" s="945"/>
      <c r="JX64" s="945"/>
      <c r="JY64" s="945"/>
      <c r="JZ64" s="945"/>
      <c r="KA64" s="945"/>
      <c r="KB64" s="945"/>
      <c r="KC64" s="945"/>
      <c r="KD64" s="945"/>
      <c r="KE64" s="945"/>
      <c r="KF64" s="945"/>
      <c r="KG64" s="945"/>
      <c r="KH64" s="945"/>
      <c r="KI64" s="945"/>
      <c r="KJ64" s="945"/>
      <c r="KK64" s="945"/>
      <c r="KL64" s="945"/>
      <c r="KM64" s="945"/>
      <c r="KN64" s="945"/>
      <c r="KO64" s="945"/>
      <c r="KP64" s="945"/>
      <c r="KQ64" s="945"/>
      <c r="KR64" s="945"/>
      <c r="KS64" s="945"/>
      <c r="KT64" s="945"/>
      <c r="KU64" s="945"/>
      <c r="KV64" s="945"/>
      <c r="KW64" s="945"/>
      <c r="KX64" s="945"/>
      <c r="KY64" s="945"/>
      <c r="KZ64" s="945"/>
      <c r="LA64" s="945"/>
      <c r="LB64" s="945"/>
      <c r="LC64" s="945"/>
      <c r="LD64" s="945"/>
      <c r="LE64" s="945"/>
      <c r="LF64" s="945"/>
      <c r="LG64" s="945"/>
      <c r="LH64" s="945"/>
      <c r="LI64" s="945"/>
      <c r="LJ64" s="945"/>
      <c r="LK64" s="945"/>
      <c r="LL64" s="945"/>
      <c r="LM64" s="945"/>
      <c r="LN64" s="945"/>
      <c r="LO64" s="945"/>
      <c r="LP64" s="945"/>
      <c r="LQ64" s="945"/>
      <c r="LR64" s="945"/>
      <c r="LS64" s="945"/>
      <c r="LT64" s="945"/>
      <c r="LU64" s="945"/>
      <c r="LV64" s="945"/>
      <c r="LW64" s="945"/>
      <c r="LX64" s="945"/>
      <c r="LY64" s="945"/>
      <c r="LZ64" s="945"/>
      <c r="MA64" s="945"/>
      <c r="MB64" s="945"/>
      <c r="MC64" s="945"/>
      <c r="MD64" s="945"/>
      <c r="ME64" s="945"/>
      <c r="MF64" s="945"/>
      <c r="MG64" s="945"/>
      <c r="MH64" s="945"/>
      <c r="MI64" s="945"/>
      <c r="MJ64" s="945"/>
      <c r="MK64" s="945"/>
      <c r="ML64" s="945"/>
      <c r="MM64" s="945"/>
      <c r="MN64" s="945"/>
      <c r="MO64" s="945"/>
      <c r="MP64" s="945"/>
      <c r="MQ64" s="945"/>
      <c r="MR64" s="945"/>
      <c r="MS64" s="945"/>
      <c r="MT64" s="945"/>
      <c r="MU64" s="945"/>
      <c r="MV64" s="945"/>
      <c r="MW64" s="945"/>
      <c r="MX64" s="945"/>
      <c r="MY64" s="945"/>
      <c r="MZ64" s="945"/>
      <c r="NA64" s="945"/>
      <c r="NB64" s="945"/>
      <c r="NC64" s="945"/>
      <c r="ND64" s="945"/>
      <c r="NE64" s="945"/>
      <c r="NF64" s="945"/>
      <c r="NG64" s="945"/>
      <c r="NH64" s="945"/>
      <c r="NI64" s="945"/>
      <c r="NJ64" s="945"/>
      <c r="NK64" s="945"/>
      <c r="NL64" s="945"/>
      <c r="NM64" s="945"/>
      <c r="NN64" s="945"/>
      <c r="NO64" s="945"/>
      <c r="NP64" s="945"/>
      <c r="NQ64" s="945"/>
      <c r="NR64" s="945"/>
      <c r="NS64" s="945"/>
      <c r="NT64" s="945"/>
      <c r="NU64" s="945"/>
      <c r="NV64" s="945"/>
      <c r="NW64" s="945"/>
      <c r="NX64" s="945"/>
      <c r="NY64" s="945"/>
      <c r="NZ64" s="945"/>
      <c r="OA64" s="945"/>
      <c r="OB64" s="945"/>
      <c r="OC64" s="945"/>
      <c r="OD64" s="945"/>
      <c r="OE64" s="945"/>
      <c r="OF64" s="945"/>
      <c r="OG64" s="945"/>
      <c r="OH64" s="945"/>
      <c r="OI64" s="945"/>
      <c r="OJ64" s="945"/>
      <c r="OK64" s="945"/>
      <c r="OL64" s="945"/>
      <c r="OM64" s="945"/>
      <c r="ON64" s="945"/>
      <c r="OO64" s="945"/>
      <c r="OP64" s="945"/>
      <c r="OQ64" s="945"/>
      <c r="OR64" s="945"/>
      <c r="OS64" s="945"/>
      <c r="OT64" s="945"/>
      <c r="OU64" s="945"/>
      <c r="OV64" s="945"/>
      <c r="OW64" s="945"/>
      <c r="OX64" s="945"/>
      <c r="OY64" s="945"/>
      <c r="OZ64" s="945"/>
      <c r="PA64" s="945"/>
      <c r="PB64" s="945"/>
      <c r="PC64" s="945"/>
      <c r="PD64" s="945"/>
      <c r="PE64" s="945"/>
      <c r="PF64" s="945"/>
      <c r="PG64" s="945"/>
      <c r="PH64" s="945"/>
      <c r="PI64" s="945"/>
      <c r="PJ64" s="945"/>
      <c r="PK64" s="945"/>
      <c r="PL64" s="945"/>
      <c r="PM64" s="945"/>
      <c r="PN64" s="945"/>
      <c r="PO64" s="945"/>
      <c r="PP64" s="945"/>
      <c r="PQ64" s="945"/>
      <c r="PR64" s="945"/>
      <c r="PS64" s="945"/>
      <c r="PT64" s="945"/>
      <c r="PU64" s="945"/>
      <c r="PV64" s="945"/>
      <c r="PW64" s="945"/>
      <c r="PX64" s="945"/>
      <c r="PY64" s="945"/>
      <c r="PZ64" s="945"/>
      <c r="QA64" s="945"/>
      <c r="QB64" s="945"/>
      <c r="QC64" s="945"/>
      <c r="QD64" s="945"/>
      <c r="QE64" s="945"/>
      <c r="QF64" s="945"/>
      <c r="QG64" s="945"/>
      <c r="QH64" s="945"/>
      <c r="QI64" s="945"/>
      <c r="QJ64" s="945"/>
      <c r="QK64" s="945"/>
      <c r="QL64" s="945"/>
      <c r="QM64" s="945"/>
      <c r="QN64" s="945"/>
      <c r="QO64" s="945"/>
      <c r="QP64" s="945"/>
      <c r="QQ64" s="945"/>
      <c r="QR64" s="945"/>
      <c r="QS64" s="945"/>
      <c r="QT64" s="945"/>
      <c r="QU64" s="945"/>
      <c r="QV64" s="945"/>
      <c r="QW64" s="945"/>
      <c r="QX64" s="945"/>
      <c r="QY64" s="945"/>
      <c r="QZ64" s="945"/>
      <c r="RA64" s="945"/>
      <c r="RB64" s="945"/>
      <c r="RC64" s="945"/>
      <c r="RD64" s="945"/>
      <c r="RE64" s="945"/>
      <c r="RF64" s="945"/>
      <c r="RG64" s="945"/>
      <c r="RH64" s="945"/>
      <c r="RI64" s="945"/>
      <c r="RJ64" s="945"/>
      <c r="RK64" s="945"/>
      <c r="RL64" s="945"/>
      <c r="RM64" s="945"/>
      <c r="RN64" s="945"/>
      <c r="RO64" s="945"/>
      <c r="RP64" s="945"/>
      <c r="RQ64" s="945"/>
      <c r="RR64" s="945"/>
      <c r="RS64" s="945"/>
      <c r="RT64" s="945"/>
      <c r="RU64" s="945"/>
      <c r="RV64" s="945"/>
      <c r="RW64" s="945"/>
      <c r="RX64" s="945"/>
    </row>
    <row r="65" spans="1:492" s="165" customFormat="1">
      <c r="A65" s="945"/>
      <c r="B65" s="945"/>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c r="AD65" s="945"/>
      <c r="AE65" s="945"/>
      <c r="AF65" s="945"/>
      <c r="AG65" s="945"/>
      <c r="AH65" s="945"/>
      <c r="AI65" s="945"/>
      <c r="AJ65" s="945"/>
      <c r="AK65" s="945"/>
      <c r="AL65" s="945"/>
      <c r="AM65" s="948"/>
      <c r="AN65" s="948"/>
      <c r="AO65" s="948"/>
      <c r="AP65" s="948"/>
      <c r="AQ65" s="948"/>
      <c r="AR65" s="948"/>
      <c r="AS65" s="948"/>
      <c r="AT65" s="948"/>
      <c r="AU65" s="948"/>
      <c r="AV65" s="948"/>
      <c r="AW65" s="948"/>
      <c r="AX65" s="948"/>
      <c r="AY65" s="948"/>
      <c r="AZ65" s="948"/>
      <c r="BA65" s="948"/>
      <c r="BB65" s="948"/>
      <c r="BC65" s="948"/>
      <c r="BD65" s="948"/>
      <c r="BE65" s="948"/>
      <c r="BF65" s="948"/>
      <c r="BG65" s="948"/>
      <c r="BH65" s="948"/>
      <c r="BI65" s="948"/>
      <c r="BJ65" s="948"/>
      <c r="BK65" s="948"/>
      <c r="BL65" s="948"/>
      <c r="BM65" s="948"/>
      <c r="BN65" s="948"/>
      <c r="BO65" s="948"/>
      <c r="BP65" s="948"/>
      <c r="BQ65" s="948"/>
      <c r="BR65" s="948"/>
      <c r="BS65" s="948"/>
      <c r="BT65" s="948"/>
      <c r="BU65" s="948"/>
      <c r="BV65" s="948"/>
      <c r="BW65" s="948"/>
      <c r="BX65" s="948"/>
      <c r="BY65" s="948"/>
      <c r="BZ65" s="948"/>
      <c r="CA65" s="945"/>
      <c r="CB65" s="945"/>
      <c r="CC65" s="945"/>
      <c r="CD65" s="945"/>
      <c r="CE65" s="945"/>
      <c r="CF65" s="945"/>
      <c r="CG65" s="945"/>
      <c r="CH65" s="945"/>
      <c r="CI65" s="945"/>
      <c r="CJ65" s="945"/>
      <c r="CK65" s="945"/>
      <c r="CL65" s="945"/>
      <c r="CM65" s="945"/>
      <c r="CN65" s="945"/>
      <c r="CO65" s="945"/>
      <c r="CP65" s="945"/>
      <c r="CQ65" s="945"/>
      <c r="CR65" s="945"/>
      <c r="CS65" s="945"/>
      <c r="CT65" s="945"/>
      <c r="CU65" s="945"/>
      <c r="CV65" s="945"/>
      <c r="CW65" s="945"/>
      <c r="CX65" s="945"/>
      <c r="CY65" s="945"/>
      <c r="CZ65" s="945"/>
      <c r="DA65" s="945"/>
      <c r="DB65" s="945"/>
      <c r="DC65" s="945"/>
      <c r="DD65" s="945"/>
      <c r="DE65" s="945"/>
      <c r="DF65" s="945"/>
      <c r="DG65" s="945"/>
      <c r="DH65" s="945"/>
      <c r="DI65" s="945"/>
      <c r="DJ65" s="945"/>
      <c r="DK65" s="945"/>
      <c r="DL65" s="945"/>
      <c r="DM65" s="945"/>
      <c r="DN65" s="945"/>
      <c r="DO65" s="945"/>
      <c r="DP65" s="945"/>
      <c r="DQ65" s="945"/>
      <c r="DR65" s="945"/>
      <c r="DS65" s="945"/>
      <c r="DT65" s="945"/>
      <c r="DU65" s="945"/>
      <c r="DV65" s="945"/>
      <c r="DW65" s="945"/>
      <c r="DX65" s="945"/>
      <c r="DY65" s="945"/>
      <c r="DZ65" s="945"/>
      <c r="EA65" s="945"/>
      <c r="EB65" s="945"/>
      <c r="EC65" s="945"/>
      <c r="ED65" s="945"/>
      <c r="EE65" s="945"/>
      <c r="EF65" s="945"/>
      <c r="EG65" s="945"/>
      <c r="EH65" s="945"/>
      <c r="EI65" s="945"/>
      <c r="EJ65" s="945"/>
      <c r="EK65" s="945"/>
      <c r="EL65" s="945"/>
      <c r="EM65" s="945"/>
      <c r="EN65" s="945"/>
      <c r="EO65" s="945"/>
      <c r="EP65" s="945"/>
      <c r="EQ65" s="945"/>
      <c r="ER65" s="945"/>
      <c r="ES65" s="945"/>
      <c r="ET65" s="945"/>
      <c r="EU65" s="945"/>
      <c r="EV65" s="945"/>
      <c r="EW65" s="945"/>
      <c r="EX65" s="945"/>
      <c r="EY65" s="945"/>
      <c r="EZ65" s="945"/>
      <c r="FA65" s="945"/>
      <c r="FB65" s="945"/>
      <c r="FC65" s="945"/>
      <c r="FD65" s="945"/>
      <c r="FE65" s="945"/>
      <c r="FF65" s="945"/>
      <c r="FG65" s="945"/>
      <c r="FH65" s="945"/>
      <c r="FI65" s="945"/>
      <c r="FJ65" s="945"/>
      <c r="FK65" s="945"/>
      <c r="FL65" s="945"/>
      <c r="FM65" s="945"/>
      <c r="FN65" s="945"/>
      <c r="FO65" s="945"/>
      <c r="FP65" s="945"/>
      <c r="FQ65" s="945"/>
      <c r="FR65" s="945"/>
      <c r="FS65" s="945"/>
      <c r="FT65" s="945"/>
      <c r="FU65" s="945"/>
      <c r="FV65" s="945"/>
      <c r="FW65" s="945"/>
      <c r="FX65" s="945"/>
      <c r="FY65" s="945"/>
      <c r="FZ65" s="945"/>
      <c r="GA65" s="945"/>
      <c r="GB65" s="945"/>
      <c r="GC65" s="945"/>
      <c r="GD65" s="945"/>
      <c r="GE65" s="945"/>
      <c r="GF65" s="945"/>
      <c r="GG65" s="945"/>
      <c r="GH65" s="945"/>
      <c r="GI65" s="945"/>
      <c r="GJ65" s="945"/>
      <c r="GK65" s="945"/>
      <c r="GL65" s="945"/>
      <c r="GM65" s="945"/>
      <c r="GN65" s="945"/>
      <c r="GO65" s="945"/>
      <c r="GP65" s="945"/>
      <c r="GQ65" s="945"/>
      <c r="GR65" s="945"/>
      <c r="GS65" s="945"/>
      <c r="GT65" s="945"/>
      <c r="GU65" s="945"/>
      <c r="GV65" s="945"/>
      <c r="GW65" s="945"/>
      <c r="GX65" s="945"/>
      <c r="GY65" s="945"/>
      <c r="GZ65" s="945"/>
      <c r="HA65" s="945"/>
      <c r="HB65" s="945"/>
      <c r="HC65" s="945"/>
      <c r="HD65" s="945"/>
      <c r="HE65" s="945"/>
      <c r="HF65" s="945"/>
      <c r="HG65" s="945"/>
      <c r="HH65" s="945"/>
      <c r="HI65" s="945"/>
      <c r="HJ65" s="945"/>
      <c r="HK65" s="945"/>
      <c r="HL65" s="945"/>
      <c r="HM65" s="945"/>
      <c r="HN65" s="945"/>
      <c r="HO65" s="945"/>
      <c r="HP65" s="945"/>
      <c r="HQ65" s="945"/>
      <c r="HR65" s="945"/>
      <c r="HS65" s="945"/>
      <c r="HT65" s="945"/>
      <c r="HU65" s="945"/>
      <c r="HV65" s="945"/>
      <c r="HW65" s="945"/>
      <c r="HX65" s="945"/>
      <c r="HY65" s="945"/>
      <c r="HZ65" s="945"/>
      <c r="IA65" s="945"/>
      <c r="IB65" s="945"/>
      <c r="IC65" s="945"/>
      <c r="ID65" s="945"/>
      <c r="IE65" s="945"/>
      <c r="IF65" s="945"/>
      <c r="IG65" s="945"/>
      <c r="IH65" s="945"/>
      <c r="II65" s="945"/>
      <c r="IJ65" s="945"/>
      <c r="IK65" s="945"/>
      <c r="IL65" s="945"/>
      <c r="IM65" s="945"/>
      <c r="IN65" s="945"/>
      <c r="IO65" s="945"/>
      <c r="IP65" s="945"/>
      <c r="IQ65" s="945"/>
      <c r="IR65" s="945"/>
      <c r="IS65" s="945"/>
      <c r="IT65" s="945"/>
      <c r="IU65" s="945"/>
      <c r="IV65" s="945"/>
      <c r="IW65" s="945"/>
      <c r="IX65" s="945"/>
      <c r="IY65" s="945"/>
      <c r="IZ65" s="945"/>
      <c r="JA65" s="945"/>
      <c r="JB65" s="945"/>
      <c r="JC65" s="945"/>
      <c r="JD65" s="945"/>
      <c r="JE65" s="945"/>
      <c r="JF65" s="945"/>
      <c r="JG65" s="945"/>
      <c r="JH65" s="945"/>
      <c r="JI65" s="945"/>
      <c r="JJ65" s="945"/>
      <c r="JK65" s="945"/>
      <c r="JL65" s="945"/>
      <c r="JM65" s="945"/>
      <c r="JN65" s="945"/>
      <c r="JO65" s="945"/>
      <c r="JP65" s="945"/>
      <c r="JQ65" s="945"/>
      <c r="JR65" s="945"/>
      <c r="JS65" s="945"/>
      <c r="JT65" s="945"/>
      <c r="JU65" s="945"/>
      <c r="JV65" s="945"/>
      <c r="JW65" s="945"/>
      <c r="JX65" s="945"/>
      <c r="JY65" s="945"/>
      <c r="JZ65" s="945"/>
      <c r="KA65" s="945"/>
      <c r="KB65" s="945"/>
      <c r="KC65" s="945"/>
      <c r="KD65" s="945"/>
      <c r="KE65" s="945"/>
      <c r="KF65" s="945"/>
      <c r="KG65" s="945"/>
      <c r="KH65" s="945"/>
      <c r="KI65" s="945"/>
      <c r="KJ65" s="945"/>
      <c r="KK65" s="945"/>
      <c r="KL65" s="945"/>
      <c r="KM65" s="945"/>
      <c r="KN65" s="945"/>
      <c r="KO65" s="945"/>
      <c r="KP65" s="945"/>
      <c r="KQ65" s="945"/>
      <c r="KR65" s="945"/>
      <c r="KS65" s="945"/>
      <c r="KT65" s="945"/>
      <c r="KU65" s="945"/>
      <c r="KV65" s="945"/>
      <c r="KW65" s="945"/>
      <c r="KX65" s="945"/>
      <c r="KY65" s="945"/>
      <c r="KZ65" s="945"/>
      <c r="LA65" s="945"/>
      <c r="LB65" s="945"/>
      <c r="LC65" s="945"/>
      <c r="LD65" s="945"/>
      <c r="LE65" s="945"/>
      <c r="LF65" s="945"/>
      <c r="LG65" s="945"/>
      <c r="LH65" s="945"/>
      <c r="LI65" s="945"/>
      <c r="LJ65" s="945"/>
      <c r="LK65" s="945"/>
      <c r="LL65" s="945"/>
      <c r="LM65" s="945"/>
      <c r="LN65" s="945"/>
      <c r="LO65" s="945"/>
      <c r="LP65" s="945"/>
      <c r="LQ65" s="945"/>
      <c r="LR65" s="945"/>
      <c r="LS65" s="945"/>
      <c r="LT65" s="945"/>
      <c r="LU65" s="945"/>
      <c r="LV65" s="945"/>
      <c r="LW65" s="945"/>
      <c r="LX65" s="945"/>
      <c r="LY65" s="945"/>
      <c r="LZ65" s="945"/>
      <c r="MA65" s="945"/>
      <c r="MB65" s="945"/>
      <c r="MC65" s="945"/>
      <c r="MD65" s="945"/>
      <c r="ME65" s="945"/>
      <c r="MF65" s="945"/>
      <c r="MG65" s="945"/>
      <c r="MH65" s="945"/>
      <c r="MI65" s="945"/>
      <c r="MJ65" s="945"/>
      <c r="MK65" s="945"/>
      <c r="ML65" s="945"/>
      <c r="MM65" s="945"/>
      <c r="MN65" s="945"/>
      <c r="MO65" s="945"/>
      <c r="MP65" s="945"/>
      <c r="MQ65" s="945"/>
      <c r="MR65" s="945"/>
      <c r="MS65" s="945"/>
      <c r="MT65" s="945"/>
      <c r="MU65" s="945"/>
      <c r="MV65" s="945"/>
      <c r="MW65" s="945"/>
      <c r="MX65" s="945"/>
      <c r="MY65" s="945"/>
      <c r="MZ65" s="945"/>
      <c r="NA65" s="945"/>
      <c r="NB65" s="945"/>
      <c r="NC65" s="945"/>
      <c r="ND65" s="945"/>
      <c r="NE65" s="945"/>
      <c r="NF65" s="945"/>
      <c r="NG65" s="945"/>
      <c r="NH65" s="945"/>
      <c r="NI65" s="945"/>
      <c r="NJ65" s="945"/>
      <c r="NK65" s="945"/>
      <c r="NL65" s="945"/>
      <c r="NM65" s="945"/>
      <c r="NN65" s="945"/>
      <c r="NO65" s="945"/>
      <c r="NP65" s="945"/>
      <c r="NQ65" s="945"/>
      <c r="NR65" s="945"/>
      <c r="NS65" s="945"/>
      <c r="NT65" s="945"/>
      <c r="NU65" s="945"/>
      <c r="NV65" s="945"/>
      <c r="NW65" s="945"/>
      <c r="NX65" s="945"/>
      <c r="NY65" s="945"/>
      <c r="NZ65" s="945"/>
      <c r="OA65" s="945"/>
      <c r="OB65" s="945"/>
      <c r="OC65" s="945"/>
      <c r="OD65" s="945"/>
      <c r="OE65" s="945"/>
      <c r="OF65" s="945"/>
      <c r="OG65" s="945"/>
      <c r="OH65" s="945"/>
      <c r="OI65" s="945"/>
      <c r="OJ65" s="945"/>
      <c r="OK65" s="945"/>
      <c r="OL65" s="945"/>
      <c r="OM65" s="945"/>
      <c r="ON65" s="945"/>
      <c r="OO65" s="945"/>
      <c r="OP65" s="945"/>
      <c r="OQ65" s="945"/>
      <c r="OR65" s="945"/>
      <c r="OS65" s="945"/>
      <c r="OT65" s="945"/>
      <c r="OU65" s="945"/>
      <c r="OV65" s="945"/>
      <c r="OW65" s="945"/>
      <c r="OX65" s="945"/>
      <c r="OY65" s="945"/>
      <c r="OZ65" s="945"/>
      <c r="PA65" s="945"/>
      <c r="PB65" s="945"/>
      <c r="PC65" s="945"/>
      <c r="PD65" s="945"/>
      <c r="PE65" s="945"/>
      <c r="PF65" s="945"/>
      <c r="PG65" s="945"/>
      <c r="PH65" s="945"/>
      <c r="PI65" s="945"/>
      <c r="PJ65" s="945"/>
      <c r="PK65" s="945"/>
      <c r="PL65" s="945"/>
      <c r="PM65" s="945"/>
      <c r="PN65" s="945"/>
      <c r="PO65" s="945"/>
      <c r="PP65" s="945"/>
      <c r="PQ65" s="945"/>
      <c r="PR65" s="945"/>
      <c r="PS65" s="945"/>
      <c r="PT65" s="945"/>
      <c r="PU65" s="945"/>
      <c r="PV65" s="945"/>
      <c r="PW65" s="945"/>
      <c r="PX65" s="945"/>
      <c r="PY65" s="945"/>
      <c r="PZ65" s="945"/>
      <c r="QA65" s="945"/>
      <c r="QB65" s="945"/>
      <c r="QC65" s="945"/>
      <c r="QD65" s="945"/>
      <c r="QE65" s="945"/>
      <c r="QF65" s="945"/>
      <c r="QG65" s="945"/>
      <c r="QH65" s="945"/>
      <c r="QI65" s="945"/>
      <c r="QJ65" s="945"/>
      <c r="QK65" s="945"/>
      <c r="QL65" s="945"/>
      <c r="QM65" s="945"/>
      <c r="QN65" s="945"/>
      <c r="QO65" s="945"/>
      <c r="QP65" s="945"/>
      <c r="QQ65" s="945"/>
      <c r="QR65" s="945"/>
      <c r="QS65" s="945"/>
      <c r="QT65" s="945"/>
      <c r="QU65" s="945"/>
      <c r="QV65" s="945"/>
      <c r="QW65" s="945"/>
      <c r="QX65" s="945"/>
      <c r="QY65" s="945"/>
      <c r="QZ65" s="945"/>
      <c r="RA65" s="945"/>
      <c r="RB65" s="945"/>
      <c r="RC65" s="945"/>
      <c r="RD65" s="945"/>
      <c r="RE65" s="945"/>
      <c r="RF65" s="945"/>
      <c r="RG65" s="945"/>
      <c r="RH65" s="945"/>
      <c r="RI65" s="945"/>
      <c r="RJ65" s="945"/>
      <c r="RK65" s="945"/>
      <c r="RL65" s="945"/>
      <c r="RM65" s="945"/>
      <c r="RN65" s="945"/>
      <c r="RO65" s="945"/>
      <c r="RP65" s="945"/>
      <c r="RQ65" s="945"/>
      <c r="RR65" s="945"/>
      <c r="RS65" s="945"/>
      <c r="RT65" s="945"/>
      <c r="RU65" s="945"/>
      <c r="RV65" s="945"/>
      <c r="RW65" s="945"/>
      <c r="RX65" s="945"/>
    </row>
    <row r="66" spans="1:492" s="165" customFormat="1">
      <c r="A66" s="945"/>
      <c r="B66" s="945"/>
      <c r="C66" s="945"/>
      <c r="D66" s="945"/>
      <c r="E66" s="945"/>
      <c r="F66" s="945"/>
      <c r="G66" s="945"/>
      <c r="H66" s="945"/>
      <c r="I66" s="945"/>
      <c r="J66" s="945"/>
      <c r="K66" s="945"/>
      <c r="L66" s="945"/>
      <c r="M66" s="945"/>
      <c r="N66" s="945"/>
      <c r="O66" s="945"/>
      <c r="P66" s="945"/>
      <c r="Q66" s="945"/>
      <c r="R66" s="945"/>
      <c r="S66" s="945"/>
      <c r="T66" s="945"/>
      <c r="U66" s="945"/>
      <c r="V66" s="945"/>
      <c r="W66" s="945"/>
      <c r="X66" s="945"/>
      <c r="Y66" s="945"/>
      <c r="Z66" s="945"/>
      <c r="AA66" s="945"/>
      <c r="AB66" s="945"/>
      <c r="AC66" s="945"/>
      <c r="AD66" s="945"/>
      <c r="AE66" s="945"/>
      <c r="AF66" s="945"/>
      <c r="AG66" s="945"/>
      <c r="AH66" s="945"/>
      <c r="AI66" s="945"/>
      <c r="AJ66" s="945"/>
      <c r="AK66" s="945"/>
      <c r="AL66" s="945"/>
      <c r="AM66" s="948"/>
      <c r="AN66" s="948"/>
      <c r="AO66" s="948"/>
      <c r="AP66" s="948"/>
      <c r="AQ66" s="948"/>
      <c r="AR66" s="948"/>
      <c r="AS66" s="948"/>
      <c r="AT66" s="948"/>
      <c r="AU66" s="948"/>
      <c r="AV66" s="948"/>
      <c r="AW66" s="948"/>
      <c r="AX66" s="948"/>
      <c r="AY66" s="948"/>
      <c r="AZ66" s="948"/>
      <c r="BA66" s="948"/>
      <c r="BB66" s="948"/>
      <c r="BC66" s="948"/>
      <c r="BD66" s="948"/>
      <c r="BE66" s="948"/>
      <c r="BF66" s="948"/>
      <c r="BG66" s="948"/>
      <c r="BH66" s="948"/>
      <c r="BI66" s="948"/>
      <c r="BJ66" s="948"/>
      <c r="BK66" s="948"/>
      <c r="BL66" s="948"/>
      <c r="BM66" s="948"/>
      <c r="BN66" s="948"/>
      <c r="BO66" s="948"/>
      <c r="BP66" s="948"/>
      <c r="BQ66" s="948"/>
      <c r="BR66" s="948"/>
      <c r="BS66" s="948"/>
      <c r="BT66" s="948"/>
      <c r="BU66" s="948"/>
      <c r="BV66" s="948"/>
      <c r="BW66" s="948"/>
      <c r="BX66" s="948"/>
      <c r="BY66" s="948"/>
      <c r="BZ66" s="948"/>
      <c r="CA66" s="945"/>
      <c r="CB66" s="945"/>
      <c r="CC66" s="945"/>
      <c r="CD66" s="945"/>
      <c r="CE66" s="945"/>
      <c r="CF66" s="945"/>
      <c r="CG66" s="945"/>
      <c r="CH66" s="945"/>
      <c r="CI66" s="945"/>
      <c r="CJ66" s="945"/>
      <c r="CK66" s="945"/>
      <c r="CL66" s="945"/>
      <c r="CM66" s="945"/>
      <c r="CN66" s="945"/>
      <c r="CO66" s="945"/>
      <c r="CP66" s="945"/>
      <c r="CQ66" s="945"/>
      <c r="CR66" s="945"/>
      <c r="CS66" s="945"/>
      <c r="CT66" s="945"/>
      <c r="CU66" s="945"/>
      <c r="CV66" s="945"/>
      <c r="CW66" s="945"/>
      <c r="CX66" s="945"/>
      <c r="CY66" s="945"/>
      <c r="CZ66" s="945"/>
      <c r="DA66" s="945"/>
      <c r="DB66" s="945"/>
      <c r="DC66" s="945"/>
      <c r="DD66" s="945"/>
      <c r="DE66" s="945"/>
      <c r="DF66" s="945"/>
      <c r="DG66" s="945"/>
      <c r="DH66" s="945"/>
      <c r="DI66" s="945"/>
      <c r="DJ66" s="945"/>
      <c r="DK66" s="945"/>
      <c r="DL66" s="945"/>
      <c r="DM66" s="945"/>
      <c r="DN66" s="945"/>
      <c r="DO66" s="945"/>
      <c r="DP66" s="945"/>
      <c r="DQ66" s="945"/>
      <c r="DR66" s="945"/>
      <c r="DS66" s="945"/>
      <c r="DT66" s="945"/>
      <c r="DU66" s="945"/>
      <c r="DV66" s="945"/>
      <c r="DW66" s="945"/>
      <c r="DX66" s="945"/>
      <c r="DY66" s="945"/>
      <c r="DZ66" s="945"/>
      <c r="EA66" s="945"/>
      <c r="EB66" s="945"/>
      <c r="EC66" s="945"/>
      <c r="ED66" s="945"/>
      <c r="EE66" s="945"/>
      <c r="EF66" s="945"/>
      <c r="EG66" s="945"/>
      <c r="EH66" s="945"/>
      <c r="EI66" s="945"/>
      <c r="EJ66" s="945"/>
      <c r="EK66" s="945"/>
      <c r="EL66" s="945"/>
      <c r="EM66" s="945"/>
      <c r="EN66" s="945"/>
      <c r="EO66" s="945"/>
      <c r="EP66" s="945"/>
      <c r="EQ66" s="945"/>
      <c r="ER66" s="945"/>
      <c r="ES66" s="945"/>
      <c r="ET66" s="945"/>
      <c r="EU66" s="945"/>
      <c r="EV66" s="945"/>
      <c r="EW66" s="945"/>
      <c r="EX66" s="945"/>
      <c r="EY66" s="945"/>
      <c r="EZ66" s="945"/>
      <c r="FA66" s="945"/>
      <c r="FB66" s="945"/>
      <c r="FC66" s="945"/>
      <c r="FD66" s="945"/>
      <c r="FE66" s="945"/>
      <c r="FF66" s="945"/>
      <c r="FG66" s="945"/>
      <c r="FH66" s="945"/>
      <c r="FI66" s="945"/>
      <c r="FJ66" s="945"/>
      <c r="FK66" s="945"/>
      <c r="FL66" s="945"/>
      <c r="FM66" s="945"/>
      <c r="FN66" s="945"/>
      <c r="FO66" s="945"/>
      <c r="FP66" s="945"/>
      <c r="FQ66" s="945"/>
      <c r="FR66" s="945"/>
      <c r="FS66" s="945"/>
      <c r="FT66" s="945"/>
      <c r="FU66" s="945"/>
      <c r="FV66" s="945"/>
      <c r="FW66" s="945"/>
      <c r="FX66" s="945"/>
      <c r="FY66" s="945"/>
      <c r="FZ66" s="945"/>
      <c r="GA66" s="945"/>
      <c r="GB66" s="945"/>
      <c r="GC66" s="945"/>
      <c r="GD66" s="945"/>
      <c r="GE66" s="945"/>
      <c r="GF66" s="945"/>
      <c r="GG66" s="945"/>
      <c r="GH66" s="945"/>
      <c r="GI66" s="945"/>
      <c r="GJ66" s="945"/>
      <c r="GK66" s="945"/>
      <c r="GL66" s="945"/>
      <c r="GM66" s="945"/>
      <c r="GN66" s="945"/>
      <c r="GO66" s="945"/>
      <c r="GP66" s="945"/>
      <c r="GQ66" s="945"/>
      <c r="GR66" s="945"/>
      <c r="GS66" s="945"/>
      <c r="GT66" s="945"/>
      <c r="GU66" s="945"/>
      <c r="GV66" s="945"/>
      <c r="GW66" s="945"/>
      <c r="GX66" s="945"/>
      <c r="GY66" s="945"/>
      <c r="GZ66" s="945"/>
      <c r="HA66" s="945"/>
      <c r="HB66" s="945"/>
      <c r="HC66" s="945"/>
      <c r="HD66" s="945"/>
      <c r="HE66" s="945"/>
      <c r="HF66" s="945"/>
      <c r="HG66" s="945"/>
      <c r="HH66" s="945"/>
      <c r="HI66" s="945"/>
      <c r="HJ66" s="945"/>
      <c r="HK66" s="945"/>
      <c r="HL66" s="945"/>
      <c r="HM66" s="945"/>
      <c r="HN66" s="945"/>
      <c r="HO66" s="945"/>
      <c r="HP66" s="945"/>
      <c r="HQ66" s="945"/>
      <c r="HR66" s="945"/>
      <c r="HS66" s="945"/>
      <c r="HT66" s="945"/>
      <c r="HU66" s="945"/>
      <c r="HV66" s="945"/>
      <c r="HW66" s="945"/>
      <c r="HX66" s="945"/>
      <c r="HY66" s="945"/>
      <c r="HZ66" s="945"/>
      <c r="IA66" s="945"/>
      <c r="IB66" s="945"/>
      <c r="IC66" s="945"/>
      <c r="ID66" s="945"/>
      <c r="IE66" s="945"/>
      <c r="IF66" s="945"/>
      <c r="IG66" s="945"/>
      <c r="IH66" s="945"/>
      <c r="II66" s="945"/>
      <c r="IJ66" s="945"/>
      <c r="IK66" s="945"/>
      <c r="IL66" s="945"/>
      <c r="IM66" s="945"/>
      <c r="IN66" s="945"/>
      <c r="IO66" s="945"/>
      <c r="IP66" s="945"/>
      <c r="IQ66" s="945"/>
      <c r="IR66" s="945"/>
      <c r="IS66" s="945"/>
      <c r="IT66" s="945"/>
      <c r="IU66" s="945"/>
      <c r="IV66" s="945"/>
      <c r="IW66" s="945"/>
      <c r="IX66" s="945"/>
      <c r="IY66" s="945"/>
      <c r="IZ66" s="945"/>
      <c r="JA66" s="945"/>
      <c r="JB66" s="945"/>
      <c r="JC66" s="945"/>
      <c r="JD66" s="945"/>
      <c r="JE66" s="945"/>
      <c r="JF66" s="945"/>
      <c r="JG66" s="945"/>
      <c r="JH66" s="945"/>
      <c r="JI66" s="945"/>
      <c r="JJ66" s="945"/>
      <c r="JK66" s="945"/>
      <c r="JL66" s="945"/>
      <c r="JM66" s="945"/>
      <c r="JN66" s="945"/>
      <c r="JO66" s="945"/>
      <c r="JP66" s="945"/>
      <c r="JQ66" s="945"/>
      <c r="JR66" s="945"/>
      <c r="JS66" s="945"/>
      <c r="JT66" s="945"/>
      <c r="JU66" s="945"/>
      <c r="JV66" s="945"/>
      <c r="JW66" s="945"/>
      <c r="JX66" s="945"/>
      <c r="JY66" s="945"/>
      <c r="JZ66" s="945"/>
      <c r="KA66" s="945"/>
      <c r="KB66" s="945"/>
      <c r="KC66" s="945"/>
      <c r="KD66" s="945"/>
      <c r="KE66" s="945"/>
      <c r="KF66" s="945"/>
      <c r="KG66" s="945"/>
      <c r="KH66" s="945"/>
      <c r="KI66" s="945"/>
      <c r="KJ66" s="945"/>
      <c r="KK66" s="945"/>
      <c r="KL66" s="945"/>
      <c r="KM66" s="945"/>
      <c r="KN66" s="945"/>
      <c r="KO66" s="945"/>
      <c r="KP66" s="945"/>
      <c r="KQ66" s="945"/>
      <c r="KR66" s="945"/>
      <c r="KS66" s="945"/>
      <c r="KT66" s="945"/>
      <c r="KU66" s="945"/>
      <c r="KV66" s="945"/>
      <c r="KW66" s="945"/>
      <c r="KX66" s="945"/>
      <c r="KY66" s="945"/>
      <c r="KZ66" s="945"/>
      <c r="LA66" s="945"/>
      <c r="LB66" s="945"/>
      <c r="LC66" s="945"/>
      <c r="LD66" s="945"/>
      <c r="LE66" s="945"/>
      <c r="LF66" s="945"/>
      <c r="LG66" s="945"/>
      <c r="LH66" s="945"/>
      <c r="LI66" s="945"/>
      <c r="LJ66" s="945"/>
      <c r="LK66" s="945"/>
      <c r="LL66" s="945"/>
      <c r="LM66" s="945"/>
      <c r="LN66" s="945"/>
      <c r="LO66" s="945"/>
      <c r="LP66" s="945"/>
      <c r="LQ66" s="945"/>
      <c r="LR66" s="945"/>
      <c r="LS66" s="945"/>
      <c r="LT66" s="945"/>
      <c r="LU66" s="945"/>
      <c r="LV66" s="945"/>
      <c r="LW66" s="945"/>
      <c r="LX66" s="945"/>
      <c r="LY66" s="945"/>
      <c r="LZ66" s="945"/>
      <c r="MA66" s="945"/>
      <c r="MB66" s="945"/>
      <c r="MC66" s="945"/>
      <c r="MD66" s="945"/>
      <c r="ME66" s="945"/>
      <c r="MF66" s="945"/>
      <c r="MG66" s="945"/>
      <c r="MH66" s="945"/>
      <c r="MI66" s="945"/>
      <c r="MJ66" s="945"/>
      <c r="MK66" s="945"/>
      <c r="ML66" s="945"/>
      <c r="MM66" s="945"/>
      <c r="MN66" s="945"/>
      <c r="MO66" s="945"/>
      <c r="MP66" s="945"/>
      <c r="MQ66" s="945"/>
      <c r="MR66" s="945"/>
      <c r="MS66" s="945"/>
      <c r="MT66" s="945"/>
      <c r="MU66" s="945"/>
      <c r="MV66" s="945"/>
      <c r="MW66" s="945"/>
      <c r="MX66" s="945"/>
      <c r="MY66" s="945"/>
      <c r="MZ66" s="945"/>
      <c r="NA66" s="945"/>
      <c r="NB66" s="945"/>
      <c r="NC66" s="945"/>
      <c r="ND66" s="945"/>
      <c r="NE66" s="945"/>
      <c r="NF66" s="945"/>
      <c r="NG66" s="945"/>
      <c r="NH66" s="945"/>
      <c r="NI66" s="945"/>
      <c r="NJ66" s="945"/>
      <c r="NK66" s="945"/>
      <c r="NL66" s="945"/>
      <c r="NM66" s="945"/>
      <c r="NN66" s="945"/>
      <c r="NO66" s="945"/>
      <c r="NP66" s="945"/>
      <c r="NQ66" s="945"/>
      <c r="NR66" s="945"/>
      <c r="NS66" s="945"/>
      <c r="NT66" s="945"/>
      <c r="NU66" s="945"/>
      <c r="NV66" s="945"/>
      <c r="NW66" s="945"/>
      <c r="NX66" s="945"/>
      <c r="NY66" s="945"/>
      <c r="NZ66" s="945"/>
      <c r="OA66" s="945"/>
      <c r="OB66" s="945"/>
      <c r="OC66" s="945"/>
      <c r="OD66" s="945"/>
      <c r="OE66" s="945"/>
      <c r="OF66" s="945"/>
      <c r="OG66" s="945"/>
      <c r="OH66" s="945"/>
      <c r="OI66" s="945"/>
      <c r="OJ66" s="945"/>
      <c r="OK66" s="945"/>
      <c r="OL66" s="945"/>
      <c r="OM66" s="945"/>
      <c r="ON66" s="945"/>
      <c r="OO66" s="945"/>
      <c r="OP66" s="945"/>
      <c r="OQ66" s="945"/>
      <c r="OR66" s="945"/>
      <c r="OS66" s="945"/>
      <c r="OT66" s="945"/>
      <c r="OU66" s="945"/>
      <c r="OV66" s="945"/>
      <c r="OW66" s="945"/>
      <c r="OX66" s="945"/>
      <c r="OY66" s="945"/>
      <c r="OZ66" s="945"/>
      <c r="PA66" s="945"/>
      <c r="PB66" s="945"/>
      <c r="PC66" s="945"/>
      <c r="PD66" s="945"/>
      <c r="PE66" s="945"/>
      <c r="PF66" s="945"/>
      <c r="PG66" s="945"/>
      <c r="PH66" s="945"/>
      <c r="PI66" s="945"/>
      <c r="PJ66" s="945"/>
      <c r="PK66" s="945"/>
      <c r="PL66" s="945"/>
      <c r="PM66" s="945"/>
      <c r="PN66" s="945"/>
      <c r="PO66" s="945"/>
      <c r="PP66" s="945"/>
      <c r="PQ66" s="945"/>
      <c r="PR66" s="945"/>
      <c r="PS66" s="945"/>
      <c r="PT66" s="945"/>
      <c r="PU66" s="945"/>
      <c r="PV66" s="945"/>
      <c r="PW66" s="945"/>
      <c r="PX66" s="945"/>
      <c r="PY66" s="945"/>
      <c r="PZ66" s="945"/>
      <c r="QA66" s="945"/>
      <c r="QB66" s="945"/>
      <c r="QC66" s="945"/>
      <c r="QD66" s="945"/>
      <c r="QE66" s="945"/>
      <c r="QF66" s="945"/>
      <c r="QG66" s="945"/>
      <c r="QH66" s="945"/>
      <c r="QI66" s="945"/>
      <c r="QJ66" s="945"/>
      <c r="QK66" s="945"/>
      <c r="QL66" s="945"/>
      <c r="QM66" s="945"/>
      <c r="QN66" s="945"/>
      <c r="QO66" s="945"/>
      <c r="QP66" s="945"/>
      <c r="QQ66" s="945"/>
      <c r="QR66" s="945"/>
      <c r="QS66" s="945"/>
      <c r="QT66" s="945"/>
      <c r="QU66" s="945"/>
      <c r="QV66" s="945"/>
      <c r="QW66" s="945"/>
      <c r="QX66" s="945"/>
      <c r="QY66" s="945"/>
      <c r="QZ66" s="945"/>
      <c r="RA66" s="945"/>
      <c r="RB66" s="945"/>
      <c r="RC66" s="945"/>
      <c r="RD66" s="945"/>
      <c r="RE66" s="945"/>
      <c r="RF66" s="945"/>
      <c r="RG66" s="945"/>
      <c r="RH66" s="945"/>
      <c r="RI66" s="945"/>
      <c r="RJ66" s="945"/>
      <c r="RK66" s="945"/>
      <c r="RL66" s="945"/>
      <c r="RM66" s="945"/>
      <c r="RN66" s="945"/>
      <c r="RO66" s="945"/>
      <c r="RP66" s="945"/>
      <c r="RQ66" s="945"/>
      <c r="RR66" s="945"/>
      <c r="RS66" s="945"/>
      <c r="RT66" s="945"/>
      <c r="RU66" s="945"/>
      <c r="RV66" s="945"/>
      <c r="RW66" s="945"/>
      <c r="RX66" s="945"/>
    </row>
    <row r="67" spans="1:492" s="165" customFormat="1">
      <c r="A67" s="945"/>
      <c r="B67" s="945"/>
      <c r="C67" s="945"/>
      <c r="D67" s="945"/>
      <c r="E67" s="945"/>
      <c r="F67" s="945"/>
      <c r="G67" s="945"/>
      <c r="H67" s="945"/>
      <c r="I67" s="945"/>
      <c r="J67" s="945"/>
      <c r="K67" s="945"/>
      <c r="L67" s="945"/>
      <c r="M67" s="945"/>
      <c r="N67" s="945"/>
      <c r="O67" s="945"/>
      <c r="P67" s="945"/>
      <c r="Q67" s="945"/>
      <c r="R67" s="945"/>
      <c r="S67" s="945"/>
      <c r="T67" s="945"/>
      <c r="U67" s="945"/>
      <c r="V67" s="945"/>
      <c r="W67" s="945"/>
      <c r="X67" s="945"/>
      <c r="Y67" s="945"/>
      <c r="Z67" s="945"/>
      <c r="AA67" s="945"/>
      <c r="AB67" s="945"/>
      <c r="AC67" s="945"/>
      <c r="AD67" s="945"/>
      <c r="AE67" s="945"/>
      <c r="AF67" s="945"/>
      <c r="AG67" s="945"/>
      <c r="AH67" s="945"/>
      <c r="AI67" s="945"/>
      <c r="AJ67" s="945"/>
      <c r="AK67" s="945"/>
      <c r="AL67" s="945"/>
      <c r="AM67" s="948"/>
      <c r="AN67" s="948"/>
      <c r="AO67" s="948"/>
      <c r="AP67" s="948"/>
      <c r="AQ67" s="948"/>
      <c r="AR67" s="948"/>
      <c r="AS67" s="948"/>
      <c r="AT67" s="948"/>
      <c r="AU67" s="948"/>
      <c r="AV67" s="948"/>
      <c r="AW67" s="948"/>
      <c r="AX67" s="948"/>
      <c r="AY67" s="948"/>
      <c r="AZ67" s="948"/>
      <c r="BA67" s="948"/>
      <c r="BB67" s="948"/>
      <c r="BC67" s="948"/>
      <c r="BD67" s="948"/>
      <c r="BE67" s="948"/>
      <c r="BF67" s="948"/>
      <c r="BG67" s="948"/>
      <c r="BH67" s="948"/>
      <c r="BI67" s="948"/>
      <c r="BJ67" s="948"/>
      <c r="BK67" s="948"/>
      <c r="BL67" s="948"/>
      <c r="BM67" s="948"/>
      <c r="BN67" s="948"/>
      <c r="BO67" s="948"/>
      <c r="BP67" s="948"/>
      <c r="BQ67" s="948"/>
      <c r="BR67" s="948"/>
      <c r="BS67" s="948"/>
      <c r="BT67" s="948"/>
      <c r="BU67" s="948"/>
      <c r="BV67" s="948"/>
      <c r="BW67" s="948"/>
      <c r="BX67" s="948"/>
      <c r="BY67" s="948"/>
      <c r="BZ67" s="948"/>
      <c r="CA67" s="945"/>
      <c r="CB67" s="945"/>
      <c r="CC67" s="945"/>
      <c r="CD67" s="945"/>
      <c r="CE67" s="945"/>
      <c r="CF67" s="945"/>
      <c r="CG67" s="945"/>
      <c r="CH67" s="945"/>
      <c r="CI67" s="945"/>
      <c r="CJ67" s="945"/>
      <c r="CK67" s="945"/>
      <c r="CL67" s="945"/>
      <c r="CM67" s="945"/>
      <c r="CN67" s="945"/>
      <c r="CO67" s="945"/>
      <c r="CP67" s="945"/>
      <c r="CQ67" s="945"/>
      <c r="CR67" s="945"/>
      <c r="CS67" s="945"/>
      <c r="CT67" s="945"/>
      <c r="CU67" s="945"/>
      <c r="CV67" s="945"/>
      <c r="CW67" s="945"/>
      <c r="CX67" s="945"/>
      <c r="CY67" s="945"/>
      <c r="CZ67" s="945"/>
      <c r="DA67" s="945"/>
      <c r="DB67" s="945"/>
      <c r="DC67" s="945"/>
      <c r="DD67" s="945"/>
      <c r="DE67" s="945"/>
      <c r="DF67" s="945"/>
      <c r="DG67" s="945"/>
      <c r="DH67" s="945"/>
      <c r="DI67" s="945"/>
      <c r="DJ67" s="945"/>
      <c r="DK67" s="945"/>
      <c r="DL67" s="945"/>
      <c r="DM67" s="945"/>
      <c r="DN67" s="945"/>
      <c r="DO67" s="945"/>
      <c r="DP67" s="945"/>
      <c r="DQ67" s="945"/>
      <c r="DR67" s="945"/>
      <c r="DS67" s="945"/>
      <c r="DT67" s="945"/>
      <c r="DU67" s="945"/>
      <c r="DV67" s="945"/>
      <c r="DW67" s="945"/>
      <c r="DX67" s="945"/>
      <c r="DY67" s="945"/>
      <c r="DZ67" s="945"/>
      <c r="EA67" s="945"/>
      <c r="EB67" s="945"/>
      <c r="EC67" s="945"/>
      <c r="ED67" s="945"/>
      <c r="EE67" s="945"/>
      <c r="EF67" s="945"/>
      <c r="EG67" s="945"/>
      <c r="EH67" s="945"/>
      <c r="EI67" s="945"/>
      <c r="EJ67" s="945"/>
      <c r="EK67" s="945"/>
      <c r="EL67" s="945"/>
      <c r="EM67" s="945"/>
      <c r="EN67" s="945"/>
      <c r="EO67" s="945"/>
      <c r="EP67" s="945"/>
      <c r="EQ67" s="945"/>
      <c r="ER67" s="945"/>
      <c r="ES67" s="945"/>
      <c r="ET67" s="945"/>
      <c r="EU67" s="945"/>
      <c r="EV67" s="945"/>
      <c r="EW67" s="945"/>
      <c r="EX67" s="945"/>
      <c r="EY67" s="945"/>
      <c r="EZ67" s="945"/>
      <c r="FA67" s="945"/>
      <c r="FB67" s="945"/>
      <c r="FC67" s="945"/>
      <c r="FD67" s="945"/>
      <c r="FE67" s="945"/>
      <c r="FF67" s="945"/>
      <c r="FG67" s="945"/>
      <c r="FH67" s="945"/>
      <c r="FI67" s="945"/>
      <c r="FJ67" s="945"/>
      <c r="FK67" s="945"/>
      <c r="FL67" s="945"/>
      <c r="FM67" s="945"/>
      <c r="FN67" s="945"/>
      <c r="FO67" s="945"/>
      <c r="FP67" s="945"/>
      <c r="FQ67" s="945"/>
      <c r="FR67" s="945"/>
      <c r="FS67" s="945"/>
      <c r="FT67" s="945"/>
      <c r="FU67" s="945"/>
      <c r="FV67" s="945"/>
      <c r="FW67" s="945"/>
      <c r="FX67" s="945"/>
      <c r="FY67" s="945"/>
      <c r="FZ67" s="945"/>
      <c r="GA67" s="945"/>
      <c r="GB67" s="945"/>
      <c r="GC67" s="945"/>
      <c r="GD67" s="945"/>
      <c r="GE67" s="945"/>
      <c r="GF67" s="945"/>
      <c r="GG67" s="945"/>
      <c r="GH67" s="945"/>
      <c r="GI67" s="945"/>
      <c r="GJ67" s="945"/>
      <c r="GK67" s="945"/>
      <c r="GL67" s="945"/>
      <c r="GM67" s="945"/>
      <c r="GN67" s="945"/>
      <c r="GO67" s="945"/>
      <c r="GP67" s="945"/>
      <c r="GQ67" s="945"/>
      <c r="GR67" s="945"/>
      <c r="GS67" s="945"/>
      <c r="GT67" s="945"/>
      <c r="GU67" s="945"/>
      <c r="GV67" s="945"/>
      <c r="GW67" s="945"/>
      <c r="GX67" s="945"/>
      <c r="GY67" s="945"/>
      <c r="GZ67" s="945"/>
      <c r="HA67" s="945"/>
      <c r="HB67" s="945"/>
      <c r="HC67" s="945"/>
      <c r="HD67" s="945"/>
      <c r="HE67" s="945"/>
      <c r="HF67" s="945"/>
      <c r="HG67" s="945"/>
      <c r="HH67" s="945"/>
      <c r="HI67" s="945"/>
      <c r="HJ67" s="945"/>
      <c r="HK67" s="945"/>
      <c r="HL67" s="945"/>
      <c r="HM67" s="945"/>
      <c r="HN67" s="945"/>
      <c r="HO67" s="945"/>
      <c r="HP67" s="945"/>
      <c r="HQ67" s="945"/>
      <c r="HR67" s="945"/>
      <c r="HS67" s="945"/>
      <c r="HT67" s="945"/>
      <c r="HU67" s="945"/>
      <c r="HV67" s="945"/>
      <c r="HW67" s="945"/>
      <c r="HX67" s="945"/>
      <c r="HY67" s="945"/>
      <c r="HZ67" s="945"/>
      <c r="IA67" s="945"/>
      <c r="IB67" s="945"/>
      <c r="IC67" s="945"/>
      <c r="ID67" s="945"/>
      <c r="IE67" s="945"/>
      <c r="IF67" s="945"/>
      <c r="IG67" s="945"/>
      <c r="IH67" s="945"/>
      <c r="II67" s="945"/>
      <c r="IJ67" s="945"/>
      <c r="IK67" s="945"/>
      <c r="IL67" s="945"/>
      <c r="IM67" s="945"/>
      <c r="IN67" s="945"/>
      <c r="IO67" s="945"/>
      <c r="IP67" s="945"/>
      <c r="IQ67" s="945"/>
      <c r="IR67" s="945"/>
      <c r="IS67" s="945"/>
      <c r="IT67" s="945"/>
      <c r="IU67" s="945"/>
      <c r="IV67" s="945"/>
      <c r="IW67" s="945"/>
      <c r="IX67" s="945"/>
      <c r="IY67" s="945"/>
      <c r="IZ67" s="945"/>
      <c r="JA67" s="945"/>
      <c r="JB67" s="945"/>
      <c r="JC67" s="945"/>
      <c r="JD67" s="945"/>
      <c r="JE67" s="945"/>
      <c r="JF67" s="945"/>
      <c r="JG67" s="945"/>
      <c r="JH67" s="945"/>
      <c r="JI67" s="945"/>
      <c r="JJ67" s="945"/>
      <c r="JK67" s="945"/>
      <c r="JL67" s="945"/>
      <c r="JM67" s="945"/>
      <c r="JN67" s="945"/>
      <c r="JO67" s="945"/>
      <c r="JP67" s="945"/>
      <c r="JQ67" s="945"/>
      <c r="JR67" s="945"/>
      <c r="JS67" s="945"/>
      <c r="JT67" s="945"/>
      <c r="JU67" s="945"/>
      <c r="JV67" s="945"/>
      <c r="JW67" s="945"/>
      <c r="JX67" s="945"/>
      <c r="JY67" s="945"/>
      <c r="JZ67" s="945"/>
      <c r="KA67" s="945"/>
      <c r="KB67" s="945"/>
      <c r="KC67" s="945"/>
      <c r="KD67" s="945"/>
      <c r="KE67" s="945"/>
      <c r="KF67" s="945"/>
      <c r="KG67" s="945"/>
      <c r="KH67" s="945"/>
      <c r="KI67" s="945"/>
      <c r="KJ67" s="945"/>
      <c r="KK67" s="945"/>
      <c r="KL67" s="945"/>
      <c r="KM67" s="945"/>
      <c r="KN67" s="945"/>
      <c r="KO67" s="945"/>
      <c r="KP67" s="945"/>
      <c r="KQ67" s="945"/>
      <c r="KR67" s="945"/>
      <c r="KS67" s="945"/>
      <c r="KT67" s="945"/>
      <c r="KU67" s="945"/>
      <c r="KV67" s="945"/>
      <c r="KW67" s="945"/>
      <c r="KX67" s="945"/>
      <c r="KY67" s="945"/>
      <c r="KZ67" s="945"/>
      <c r="LA67" s="945"/>
      <c r="LB67" s="945"/>
      <c r="LC67" s="945"/>
      <c r="LD67" s="945"/>
      <c r="LE67" s="945"/>
      <c r="LF67" s="945"/>
      <c r="LG67" s="945"/>
      <c r="LH67" s="945"/>
      <c r="LI67" s="945"/>
      <c r="LJ67" s="945"/>
      <c r="LK67" s="945"/>
      <c r="LL67" s="945"/>
      <c r="LM67" s="945"/>
      <c r="LN67" s="945"/>
      <c r="LO67" s="945"/>
      <c r="LP67" s="945"/>
      <c r="LQ67" s="945"/>
      <c r="LR67" s="945"/>
      <c r="LS67" s="945"/>
      <c r="LT67" s="945"/>
      <c r="LU67" s="945"/>
      <c r="LV67" s="945"/>
      <c r="LW67" s="945"/>
      <c r="LX67" s="945"/>
      <c r="LY67" s="945"/>
      <c r="LZ67" s="945"/>
      <c r="MA67" s="945"/>
      <c r="MB67" s="945"/>
      <c r="MC67" s="945"/>
      <c r="MD67" s="945"/>
      <c r="ME67" s="945"/>
      <c r="MF67" s="945"/>
      <c r="MG67" s="945"/>
      <c r="MH67" s="945"/>
      <c r="MI67" s="945"/>
      <c r="MJ67" s="945"/>
      <c r="MK67" s="945"/>
      <c r="ML67" s="945"/>
      <c r="MM67" s="945"/>
      <c r="MN67" s="945"/>
      <c r="MO67" s="945"/>
      <c r="MP67" s="945"/>
      <c r="MQ67" s="945"/>
      <c r="MR67" s="945"/>
      <c r="MS67" s="945"/>
      <c r="MT67" s="945"/>
      <c r="MU67" s="945"/>
      <c r="MV67" s="945"/>
      <c r="MW67" s="945"/>
      <c r="MX67" s="945"/>
      <c r="MY67" s="945"/>
      <c r="MZ67" s="945"/>
      <c r="NA67" s="945"/>
      <c r="NB67" s="945"/>
      <c r="NC67" s="945"/>
      <c r="ND67" s="945"/>
      <c r="NE67" s="945"/>
      <c r="NF67" s="945"/>
      <c r="NG67" s="945"/>
      <c r="NH67" s="945"/>
      <c r="NI67" s="945"/>
      <c r="NJ67" s="945"/>
      <c r="NK67" s="945"/>
      <c r="NL67" s="945"/>
      <c r="NM67" s="945"/>
      <c r="NN67" s="945"/>
      <c r="NO67" s="945"/>
      <c r="NP67" s="945"/>
      <c r="NQ67" s="945"/>
      <c r="NR67" s="945"/>
      <c r="NS67" s="945"/>
      <c r="NT67" s="945"/>
      <c r="NU67" s="945"/>
      <c r="NV67" s="945"/>
      <c r="NW67" s="945"/>
      <c r="NX67" s="945"/>
      <c r="NY67" s="945"/>
      <c r="NZ67" s="945"/>
      <c r="OA67" s="945"/>
      <c r="OB67" s="945"/>
      <c r="OC67" s="945"/>
      <c r="OD67" s="945"/>
      <c r="OE67" s="945"/>
      <c r="OF67" s="945"/>
      <c r="OG67" s="945"/>
      <c r="OH67" s="945"/>
      <c r="OI67" s="945"/>
      <c r="OJ67" s="945"/>
      <c r="OK67" s="945"/>
      <c r="OL67" s="945"/>
      <c r="OM67" s="945"/>
      <c r="ON67" s="945"/>
      <c r="OO67" s="945"/>
      <c r="OP67" s="945"/>
      <c r="OQ67" s="945"/>
      <c r="OR67" s="945"/>
      <c r="OS67" s="945"/>
      <c r="OT67" s="945"/>
      <c r="OU67" s="945"/>
      <c r="OV67" s="945"/>
      <c r="OW67" s="945"/>
      <c r="OX67" s="945"/>
      <c r="OY67" s="945"/>
      <c r="OZ67" s="945"/>
      <c r="PA67" s="945"/>
      <c r="PB67" s="945"/>
      <c r="PC67" s="945"/>
      <c r="PD67" s="945"/>
      <c r="PE67" s="945"/>
      <c r="PF67" s="945"/>
      <c r="PG67" s="945"/>
      <c r="PH67" s="945"/>
      <c r="PI67" s="945"/>
      <c r="PJ67" s="945"/>
      <c r="PK67" s="945"/>
      <c r="PL67" s="945"/>
      <c r="PM67" s="945"/>
      <c r="PN67" s="945"/>
      <c r="PO67" s="945"/>
      <c r="PP67" s="945"/>
      <c r="PQ67" s="945"/>
      <c r="PR67" s="945"/>
      <c r="PS67" s="945"/>
      <c r="PT67" s="945"/>
      <c r="PU67" s="945"/>
      <c r="PV67" s="945"/>
      <c r="PW67" s="945"/>
      <c r="PX67" s="945"/>
      <c r="PY67" s="945"/>
      <c r="PZ67" s="945"/>
      <c r="QA67" s="945"/>
      <c r="QB67" s="945"/>
      <c r="QC67" s="945"/>
      <c r="QD67" s="945"/>
      <c r="QE67" s="945"/>
      <c r="QF67" s="945"/>
      <c r="QG67" s="945"/>
      <c r="QH67" s="945"/>
      <c r="QI67" s="945"/>
      <c r="QJ67" s="945"/>
      <c r="QK67" s="945"/>
      <c r="QL67" s="945"/>
      <c r="QM67" s="945"/>
      <c r="QN67" s="945"/>
      <c r="QO67" s="945"/>
      <c r="QP67" s="945"/>
      <c r="QQ67" s="945"/>
      <c r="QR67" s="945"/>
      <c r="QS67" s="945"/>
      <c r="QT67" s="945"/>
      <c r="QU67" s="945"/>
      <c r="QV67" s="945"/>
      <c r="QW67" s="945"/>
      <c r="QX67" s="945"/>
      <c r="QY67" s="945"/>
      <c r="QZ67" s="945"/>
      <c r="RA67" s="945"/>
      <c r="RB67" s="945"/>
      <c r="RC67" s="945"/>
      <c r="RD67" s="945"/>
      <c r="RE67" s="945"/>
      <c r="RF67" s="945"/>
      <c r="RG67" s="945"/>
      <c r="RH67" s="945"/>
      <c r="RI67" s="945"/>
      <c r="RJ67" s="945"/>
      <c r="RK67" s="945"/>
      <c r="RL67" s="945"/>
      <c r="RM67" s="945"/>
      <c r="RN67" s="945"/>
      <c r="RO67" s="945"/>
      <c r="RP67" s="945"/>
      <c r="RQ67" s="945"/>
      <c r="RR67" s="945"/>
      <c r="RS67" s="945"/>
      <c r="RT67" s="945"/>
      <c r="RU67" s="945"/>
      <c r="RV67" s="945"/>
      <c r="RW67" s="945"/>
      <c r="RX67" s="945"/>
    </row>
    <row r="68" spans="1:492" s="165" customFormat="1">
      <c r="A68" s="945"/>
      <c r="B68" s="945"/>
      <c r="C68" s="945"/>
      <c r="D68" s="945"/>
      <c r="E68" s="945"/>
      <c r="F68" s="945"/>
      <c r="G68" s="945"/>
      <c r="H68" s="945"/>
      <c r="I68" s="945"/>
      <c r="J68" s="945"/>
      <c r="K68" s="945"/>
      <c r="L68" s="945"/>
      <c r="M68" s="945"/>
      <c r="N68" s="945"/>
      <c r="O68" s="945"/>
      <c r="P68" s="945"/>
      <c r="Q68" s="945"/>
      <c r="R68" s="945"/>
      <c r="S68" s="945"/>
      <c r="T68" s="945"/>
      <c r="U68" s="945"/>
      <c r="V68" s="945"/>
      <c r="W68" s="945"/>
      <c r="X68" s="945"/>
      <c r="Y68" s="945"/>
      <c r="Z68" s="945"/>
      <c r="AA68" s="945"/>
      <c r="AB68" s="945"/>
      <c r="AC68" s="945"/>
      <c r="AD68" s="945"/>
      <c r="AE68" s="945"/>
      <c r="AF68" s="945"/>
      <c r="AG68" s="945"/>
      <c r="AH68" s="945"/>
      <c r="AI68" s="945"/>
      <c r="AJ68" s="945"/>
      <c r="AK68" s="945"/>
      <c r="AL68" s="945"/>
      <c r="AM68" s="948"/>
      <c r="AN68" s="948"/>
      <c r="AO68" s="948"/>
      <c r="AP68" s="948"/>
      <c r="AQ68" s="948"/>
      <c r="AR68" s="948"/>
      <c r="AS68" s="948"/>
      <c r="AT68" s="948"/>
      <c r="AU68" s="948"/>
      <c r="AV68" s="948"/>
      <c r="AW68" s="948"/>
      <c r="AX68" s="948"/>
      <c r="AY68" s="948"/>
      <c r="AZ68" s="948"/>
      <c r="BA68" s="948"/>
      <c r="BB68" s="948"/>
      <c r="BC68" s="948"/>
      <c r="BD68" s="948"/>
      <c r="BE68" s="948"/>
      <c r="BF68" s="948"/>
      <c r="BG68" s="948"/>
      <c r="BH68" s="948"/>
      <c r="BI68" s="948"/>
      <c r="BJ68" s="948"/>
      <c r="BK68" s="948"/>
      <c r="BL68" s="948"/>
      <c r="BM68" s="948"/>
      <c r="BN68" s="948"/>
      <c r="BO68" s="948"/>
      <c r="BP68" s="948"/>
      <c r="BQ68" s="948"/>
      <c r="BR68" s="948"/>
      <c r="BS68" s="948"/>
      <c r="BT68" s="948"/>
      <c r="BU68" s="948"/>
      <c r="BV68" s="948"/>
      <c r="BW68" s="948"/>
      <c r="BX68" s="948"/>
      <c r="BY68" s="948"/>
      <c r="BZ68" s="948"/>
      <c r="CA68" s="945"/>
      <c r="CB68" s="945"/>
      <c r="CC68" s="945"/>
      <c r="CD68" s="945"/>
      <c r="CE68" s="945"/>
      <c r="CF68" s="945"/>
      <c r="CG68" s="945"/>
      <c r="CH68" s="945"/>
      <c r="CI68" s="945"/>
      <c r="CJ68" s="945"/>
      <c r="CK68" s="945"/>
      <c r="CL68" s="945"/>
      <c r="CM68" s="945"/>
      <c r="CN68" s="945"/>
      <c r="CO68" s="945"/>
      <c r="CP68" s="945"/>
      <c r="CQ68" s="945"/>
      <c r="CR68" s="945"/>
      <c r="CS68" s="945"/>
      <c r="CT68" s="945"/>
      <c r="CU68" s="945"/>
      <c r="CV68" s="945"/>
      <c r="CW68" s="945"/>
      <c r="CX68" s="945"/>
      <c r="CY68" s="945"/>
      <c r="CZ68" s="945"/>
      <c r="DA68" s="945"/>
      <c r="DB68" s="945"/>
      <c r="DC68" s="945"/>
      <c r="DD68" s="945"/>
      <c r="DE68" s="945"/>
      <c r="DF68" s="945"/>
      <c r="DG68" s="945"/>
      <c r="DH68" s="945"/>
      <c r="DI68" s="945"/>
      <c r="DJ68" s="945"/>
      <c r="DK68" s="945"/>
      <c r="DL68" s="945"/>
      <c r="DM68" s="945"/>
      <c r="DN68" s="945"/>
      <c r="DO68" s="945"/>
      <c r="DP68" s="945"/>
      <c r="DQ68" s="945"/>
      <c r="DR68" s="945"/>
      <c r="DS68" s="945"/>
      <c r="DT68" s="945"/>
      <c r="DU68" s="945"/>
      <c r="DV68" s="945"/>
      <c r="DW68" s="945"/>
      <c r="DX68" s="945"/>
      <c r="DY68" s="945"/>
      <c r="DZ68" s="945"/>
      <c r="EA68" s="945"/>
      <c r="EB68" s="945"/>
      <c r="EC68" s="945"/>
      <c r="ED68" s="945"/>
      <c r="EE68" s="945"/>
      <c r="EF68" s="945"/>
      <c r="EG68" s="945"/>
      <c r="EH68" s="945"/>
      <c r="EI68" s="945"/>
      <c r="EJ68" s="945"/>
      <c r="EK68" s="945"/>
      <c r="EL68" s="945"/>
      <c r="EM68" s="945"/>
      <c r="EN68" s="945"/>
      <c r="EO68" s="945"/>
      <c r="EP68" s="945"/>
      <c r="EQ68" s="945"/>
      <c r="ER68" s="945"/>
      <c r="ES68" s="945"/>
      <c r="ET68" s="945"/>
      <c r="EU68" s="945"/>
      <c r="EV68" s="945"/>
      <c r="EW68" s="945"/>
      <c r="EX68" s="945"/>
      <c r="EY68" s="945"/>
      <c r="EZ68" s="945"/>
      <c r="FA68" s="945"/>
      <c r="FB68" s="945"/>
      <c r="FC68" s="945"/>
      <c r="FD68" s="945"/>
      <c r="FE68" s="945"/>
      <c r="FF68" s="945"/>
      <c r="FG68" s="945"/>
      <c r="FH68" s="945"/>
      <c r="FI68" s="945"/>
      <c r="FJ68" s="945"/>
      <c r="FK68" s="945"/>
      <c r="FL68" s="945"/>
      <c r="FM68" s="945"/>
      <c r="FN68" s="945"/>
      <c r="FO68" s="945"/>
      <c r="FP68" s="945"/>
      <c r="FQ68" s="945"/>
      <c r="FR68" s="945"/>
      <c r="FS68" s="945"/>
      <c r="FT68" s="945"/>
      <c r="FU68" s="945"/>
      <c r="FV68" s="945"/>
      <c r="FW68" s="945"/>
      <c r="FX68" s="945"/>
      <c r="FY68" s="945"/>
      <c r="FZ68" s="945"/>
      <c r="GA68" s="945"/>
      <c r="GB68" s="945"/>
      <c r="GC68" s="945"/>
      <c r="GD68" s="945"/>
      <c r="GE68" s="945"/>
      <c r="GF68" s="945"/>
      <c r="GG68" s="945"/>
      <c r="GH68" s="945"/>
      <c r="GI68" s="945"/>
      <c r="GJ68" s="945"/>
      <c r="GK68" s="945"/>
      <c r="GL68" s="945"/>
      <c r="GM68" s="945"/>
      <c r="GN68" s="945"/>
      <c r="GO68" s="945"/>
      <c r="GP68" s="945"/>
      <c r="GQ68" s="945"/>
      <c r="GR68" s="945"/>
      <c r="GS68" s="945"/>
      <c r="GT68" s="945"/>
      <c r="GU68" s="945"/>
      <c r="GV68" s="945"/>
      <c r="GW68" s="945"/>
      <c r="GX68" s="945"/>
      <c r="GY68" s="945"/>
      <c r="GZ68" s="945"/>
      <c r="HA68" s="945"/>
      <c r="HB68" s="945"/>
      <c r="HC68" s="945"/>
      <c r="HD68" s="945"/>
      <c r="HE68" s="945"/>
      <c r="HF68" s="945"/>
      <c r="HG68" s="945"/>
      <c r="HH68" s="945"/>
      <c r="HI68" s="945"/>
      <c r="HJ68" s="945"/>
      <c r="HK68" s="945"/>
      <c r="HL68" s="945"/>
      <c r="HM68" s="945"/>
      <c r="HN68" s="945"/>
      <c r="HO68" s="945"/>
      <c r="HP68" s="945"/>
      <c r="HQ68" s="945"/>
      <c r="HR68" s="945"/>
      <c r="HS68" s="945"/>
      <c r="HT68" s="945"/>
      <c r="HU68" s="945"/>
      <c r="HV68" s="945"/>
      <c r="HW68" s="945"/>
      <c r="HX68" s="945"/>
      <c r="HY68" s="945"/>
      <c r="HZ68" s="945"/>
      <c r="IA68" s="945"/>
      <c r="IB68" s="945"/>
      <c r="IC68" s="945"/>
      <c r="ID68" s="945"/>
      <c r="IE68" s="945"/>
      <c r="IF68" s="945"/>
      <c r="IG68" s="945"/>
      <c r="IH68" s="945"/>
      <c r="II68" s="945"/>
      <c r="IJ68" s="945"/>
      <c r="IK68" s="945"/>
      <c r="IL68" s="945"/>
      <c r="IM68" s="945"/>
      <c r="IN68" s="945"/>
      <c r="IO68" s="945"/>
      <c r="IP68" s="945"/>
      <c r="IQ68" s="945"/>
      <c r="IR68" s="945"/>
      <c r="IS68" s="945"/>
      <c r="IT68" s="945"/>
      <c r="IU68" s="945"/>
      <c r="IV68" s="945"/>
      <c r="IW68" s="945"/>
      <c r="IX68" s="945"/>
      <c r="IY68" s="945"/>
      <c r="IZ68" s="945"/>
      <c r="JA68" s="945"/>
      <c r="JB68" s="945"/>
      <c r="JC68" s="945"/>
      <c r="JD68" s="945"/>
      <c r="JE68" s="945"/>
      <c r="JF68" s="945"/>
      <c r="JG68" s="945"/>
      <c r="JH68" s="945"/>
      <c r="JI68" s="945"/>
      <c r="JJ68" s="945"/>
      <c r="JK68" s="945"/>
      <c r="JL68" s="945"/>
      <c r="JM68" s="945"/>
      <c r="JN68" s="945"/>
      <c r="JO68" s="945"/>
      <c r="JP68" s="945"/>
      <c r="JQ68" s="945"/>
      <c r="JR68" s="945"/>
      <c r="JS68" s="945"/>
      <c r="JT68" s="945"/>
      <c r="JU68" s="945"/>
      <c r="JV68" s="945"/>
      <c r="JW68" s="945"/>
      <c r="JX68" s="945"/>
      <c r="JY68" s="945"/>
      <c r="JZ68" s="945"/>
      <c r="KA68" s="945"/>
      <c r="KB68" s="945"/>
      <c r="KC68" s="945"/>
      <c r="KD68" s="945"/>
      <c r="KE68" s="945"/>
      <c r="KF68" s="945"/>
      <c r="KG68" s="945"/>
      <c r="KH68" s="945"/>
      <c r="KI68" s="945"/>
      <c r="KJ68" s="945"/>
      <c r="KK68" s="945"/>
      <c r="KL68" s="945"/>
      <c r="KM68" s="945"/>
      <c r="KN68" s="945"/>
      <c r="KO68" s="945"/>
      <c r="KP68" s="945"/>
      <c r="KQ68" s="945"/>
      <c r="KR68" s="945"/>
      <c r="KS68" s="945"/>
      <c r="KT68" s="945"/>
      <c r="KU68" s="945"/>
      <c r="KV68" s="945"/>
      <c r="KW68" s="945"/>
      <c r="KX68" s="945"/>
      <c r="KY68" s="945"/>
      <c r="KZ68" s="945"/>
      <c r="LA68" s="945"/>
      <c r="LB68" s="945"/>
      <c r="LC68" s="945"/>
      <c r="LD68" s="945"/>
      <c r="LE68" s="945"/>
      <c r="LF68" s="945"/>
      <c r="LG68" s="945"/>
      <c r="LH68" s="945"/>
      <c r="LI68" s="945"/>
      <c r="LJ68" s="945"/>
      <c r="LK68" s="945"/>
      <c r="LL68" s="945"/>
      <c r="LM68" s="945"/>
      <c r="LN68" s="945"/>
      <c r="LO68" s="945"/>
      <c r="LP68" s="945"/>
      <c r="LQ68" s="945"/>
      <c r="LR68" s="945"/>
      <c r="LS68" s="945"/>
      <c r="LT68" s="945"/>
      <c r="LU68" s="945"/>
      <c r="LV68" s="945"/>
      <c r="LW68" s="945"/>
      <c r="LX68" s="945"/>
      <c r="LY68" s="945"/>
      <c r="LZ68" s="945"/>
      <c r="MA68" s="945"/>
      <c r="MB68" s="945"/>
      <c r="MC68" s="945"/>
      <c r="MD68" s="945"/>
      <c r="ME68" s="945"/>
      <c r="MF68" s="945"/>
      <c r="MG68" s="945"/>
      <c r="MH68" s="945"/>
      <c r="MI68" s="945"/>
      <c r="MJ68" s="945"/>
      <c r="MK68" s="945"/>
      <c r="ML68" s="945"/>
      <c r="MM68" s="945"/>
      <c r="MN68" s="945"/>
      <c r="MO68" s="945"/>
      <c r="MP68" s="945"/>
      <c r="MQ68" s="945"/>
      <c r="MR68" s="945"/>
      <c r="MS68" s="945"/>
      <c r="MT68" s="945"/>
      <c r="MU68" s="945"/>
      <c r="MV68" s="945"/>
      <c r="MW68" s="945"/>
      <c r="MX68" s="945"/>
      <c r="MY68" s="945"/>
      <c r="MZ68" s="945"/>
      <c r="NA68" s="945"/>
      <c r="NB68" s="945"/>
      <c r="NC68" s="945"/>
      <c r="ND68" s="945"/>
      <c r="NE68" s="945"/>
      <c r="NF68" s="945"/>
      <c r="NG68" s="945"/>
      <c r="NH68" s="945"/>
      <c r="NI68" s="945"/>
      <c r="NJ68" s="945"/>
      <c r="NK68" s="945"/>
      <c r="NL68" s="945"/>
      <c r="NM68" s="945"/>
      <c r="NN68" s="945"/>
      <c r="NO68" s="945"/>
      <c r="NP68" s="945"/>
      <c r="NQ68" s="945"/>
      <c r="NR68" s="945"/>
      <c r="NS68" s="945"/>
      <c r="NT68" s="945"/>
      <c r="NU68" s="945"/>
      <c r="NV68" s="945"/>
      <c r="NW68" s="945"/>
      <c r="NX68" s="945"/>
      <c r="NY68" s="945"/>
      <c r="NZ68" s="945"/>
      <c r="OA68" s="945"/>
      <c r="OB68" s="945"/>
      <c r="OC68" s="945"/>
      <c r="OD68" s="945"/>
      <c r="OE68" s="945"/>
      <c r="OF68" s="945"/>
      <c r="OG68" s="945"/>
      <c r="OH68" s="945"/>
      <c r="OI68" s="945"/>
      <c r="OJ68" s="945"/>
      <c r="OK68" s="945"/>
      <c r="OL68" s="945"/>
      <c r="OM68" s="945"/>
      <c r="ON68" s="945"/>
      <c r="OO68" s="945"/>
      <c r="OP68" s="945"/>
      <c r="OQ68" s="945"/>
      <c r="OR68" s="945"/>
      <c r="OS68" s="945"/>
      <c r="OT68" s="945"/>
      <c r="OU68" s="945"/>
      <c r="OV68" s="945"/>
      <c r="OW68" s="945"/>
      <c r="OX68" s="945"/>
      <c r="OY68" s="945"/>
      <c r="OZ68" s="945"/>
      <c r="PA68" s="945"/>
      <c r="PB68" s="945"/>
      <c r="PC68" s="945"/>
      <c r="PD68" s="945"/>
      <c r="PE68" s="945"/>
      <c r="PF68" s="945"/>
      <c r="PG68" s="945"/>
      <c r="PH68" s="945"/>
      <c r="PI68" s="945"/>
      <c r="PJ68" s="945"/>
      <c r="PK68" s="945"/>
      <c r="PL68" s="945"/>
      <c r="PM68" s="945"/>
      <c r="PN68" s="945"/>
      <c r="PO68" s="945"/>
      <c r="PP68" s="945"/>
      <c r="PQ68" s="945"/>
      <c r="PR68" s="945"/>
      <c r="PS68" s="945"/>
      <c r="PT68" s="945"/>
      <c r="PU68" s="945"/>
      <c r="PV68" s="945"/>
      <c r="PW68" s="945"/>
      <c r="PX68" s="945"/>
      <c r="PY68" s="945"/>
      <c r="PZ68" s="945"/>
      <c r="QA68" s="945"/>
      <c r="QB68" s="945"/>
      <c r="QC68" s="945"/>
      <c r="QD68" s="945"/>
      <c r="QE68" s="945"/>
      <c r="QF68" s="945"/>
      <c r="QG68" s="945"/>
      <c r="QH68" s="945"/>
      <c r="QI68" s="945"/>
      <c r="QJ68" s="945"/>
      <c r="QK68" s="945"/>
      <c r="QL68" s="945"/>
      <c r="QM68" s="945"/>
      <c r="QN68" s="945"/>
      <c r="QO68" s="945"/>
      <c r="QP68" s="945"/>
      <c r="QQ68" s="945"/>
      <c r="QR68" s="945"/>
      <c r="QS68" s="945"/>
      <c r="QT68" s="945"/>
      <c r="QU68" s="945"/>
      <c r="QV68" s="945"/>
      <c r="QW68" s="945"/>
      <c r="QX68" s="945"/>
      <c r="QY68" s="945"/>
      <c r="QZ68" s="945"/>
      <c r="RA68" s="945"/>
      <c r="RB68" s="945"/>
      <c r="RC68" s="945"/>
      <c r="RD68" s="945"/>
      <c r="RE68" s="945"/>
      <c r="RF68" s="945"/>
      <c r="RG68" s="945"/>
      <c r="RH68" s="945"/>
      <c r="RI68" s="945"/>
      <c r="RJ68" s="945"/>
      <c r="RK68" s="945"/>
      <c r="RL68" s="945"/>
      <c r="RM68" s="945"/>
      <c r="RN68" s="945"/>
      <c r="RO68" s="945"/>
      <c r="RP68" s="945"/>
      <c r="RQ68" s="945"/>
      <c r="RR68" s="945"/>
      <c r="RS68" s="945"/>
      <c r="RT68" s="945"/>
      <c r="RU68" s="945"/>
      <c r="RV68" s="945"/>
      <c r="RW68" s="945"/>
      <c r="RX68" s="945"/>
    </row>
    <row r="69" spans="1:492" s="165" customFormat="1">
      <c r="A69" s="945"/>
      <c r="B69" s="945"/>
      <c r="C69" s="945"/>
      <c r="D69" s="945"/>
      <c r="E69" s="945"/>
      <c r="F69" s="945"/>
      <c r="G69" s="945"/>
      <c r="H69" s="945"/>
      <c r="I69" s="945"/>
      <c r="J69" s="945"/>
      <c r="K69" s="945"/>
      <c r="L69" s="945"/>
      <c r="M69" s="945"/>
      <c r="N69" s="945"/>
      <c r="O69" s="945"/>
      <c r="P69" s="945"/>
      <c r="Q69" s="945"/>
      <c r="R69" s="945"/>
      <c r="S69" s="945"/>
      <c r="T69" s="945"/>
      <c r="U69" s="945"/>
      <c r="V69" s="945"/>
      <c r="W69" s="945"/>
      <c r="X69" s="945"/>
      <c r="Y69" s="945"/>
      <c r="Z69" s="945"/>
      <c r="AA69" s="945"/>
      <c r="AB69" s="945"/>
      <c r="AC69" s="945"/>
      <c r="AD69" s="945"/>
      <c r="AE69" s="945"/>
      <c r="AF69" s="945"/>
      <c r="AG69" s="945"/>
      <c r="AH69" s="945"/>
      <c r="AI69" s="945"/>
      <c r="AJ69" s="945"/>
      <c r="AK69" s="945"/>
      <c r="AL69" s="945"/>
      <c r="AM69" s="948"/>
      <c r="AN69" s="948"/>
      <c r="AO69" s="948"/>
      <c r="AP69" s="948"/>
      <c r="AQ69" s="948"/>
      <c r="AR69" s="948"/>
      <c r="AS69" s="948"/>
      <c r="AT69" s="948"/>
      <c r="AU69" s="948"/>
      <c r="AV69" s="948"/>
      <c r="AW69" s="948"/>
      <c r="AX69" s="948"/>
      <c r="AY69" s="948"/>
      <c r="AZ69" s="948"/>
      <c r="BA69" s="948"/>
      <c r="BB69" s="948"/>
      <c r="BC69" s="948"/>
      <c r="BD69" s="948"/>
      <c r="BE69" s="948"/>
      <c r="BF69" s="948"/>
      <c r="BG69" s="948"/>
      <c r="BH69" s="948"/>
      <c r="BI69" s="948"/>
      <c r="BJ69" s="948"/>
      <c r="BK69" s="948"/>
      <c r="BL69" s="948"/>
      <c r="BM69" s="948"/>
      <c r="BN69" s="948"/>
      <c r="BO69" s="948"/>
      <c r="BP69" s="948"/>
      <c r="BQ69" s="948"/>
      <c r="BR69" s="948"/>
      <c r="BS69" s="948"/>
      <c r="BT69" s="948"/>
      <c r="BU69" s="948"/>
      <c r="BV69" s="948"/>
      <c r="BW69" s="948"/>
      <c r="BX69" s="948"/>
      <c r="BY69" s="948"/>
      <c r="BZ69" s="948"/>
      <c r="CA69" s="945"/>
      <c r="CB69" s="945"/>
      <c r="CC69" s="945"/>
      <c r="CD69" s="945"/>
      <c r="CE69" s="945"/>
      <c r="CF69" s="945"/>
      <c r="CG69" s="945"/>
      <c r="CH69" s="945"/>
      <c r="CI69" s="945"/>
      <c r="CJ69" s="945"/>
      <c r="CK69" s="945"/>
      <c r="CL69" s="945"/>
      <c r="CM69" s="945"/>
      <c r="CN69" s="945"/>
      <c r="CO69" s="945"/>
      <c r="CP69" s="945"/>
      <c r="CQ69" s="945"/>
      <c r="CR69" s="945"/>
      <c r="CS69" s="945"/>
      <c r="CT69" s="945"/>
      <c r="CU69" s="945"/>
      <c r="CV69" s="945"/>
      <c r="CW69" s="945"/>
      <c r="CX69" s="945"/>
      <c r="CY69" s="945"/>
      <c r="CZ69" s="945"/>
      <c r="DA69" s="945"/>
      <c r="DB69" s="945"/>
      <c r="DC69" s="945"/>
      <c r="DD69" s="945"/>
      <c r="DE69" s="945"/>
      <c r="DF69" s="945"/>
      <c r="DG69" s="945"/>
      <c r="DH69" s="945"/>
      <c r="DI69" s="945"/>
      <c r="DJ69" s="945"/>
      <c r="DK69" s="945"/>
      <c r="DL69" s="945"/>
      <c r="DM69" s="945"/>
      <c r="DN69" s="945"/>
      <c r="DO69" s="945"/>
      <c r="DP69" s="945"/>
      <c r="DQ69" s="945"/>
      <c r="DR69" s="945"/>
      <c r="DS69" s="945"/>
      <c r="DT69" s="945"/>
      <c r="DU69" s="945"/>
      <c r="DV69" s="945"/>
      <c r="DW69" s="945"/>
      <c r="DX69" s="945"/>
      <c r="DY69" s="945"/>
      <c r="DZ69" s="945"/>
      <c r="EA69" s="945"/>
      <c r="EB69" s="945"/>
      <c r="EC69" s="945"/>
      <c r="ED69" s="945"/>
      <c r="EE69" s="945"/>
      <c r="EF69" s="945"/>
      <c r="EG69" s="945"/>
      <c r="EH69" s="945"/>
      <c r="EI69" s="945"/>
      <c r="EJ69" s="945"/>
      <c r="EK69" s="945"/>
      <c r="EL69" s="945"/>
      <c r="EM69" s="945"/>
      <c r="EN69" s="945"/>
      <c r="EO69" s="945"/>
      <c r="EP69" s="945"/>
      <c r="EQ69" s="945"/>
      <c r="ER69" s="945"/>
      <c r="ES69" s="945"/>
      <c r="ET69" s="945"/>
      <c r="EU69" s="945"/>
      <c r="EV69" s="945"/>
      <c r="EW69" s="945"/>
      <c r="EX69" s="945"/>
      <c r="EY69" s="945"/>
      <c r="EZ69" s="945"/>
      <c r="FA69" s="945"/>
      <c r="FB69" s="945"/>
      <c r="FC69" s="945"/>
      <c r="FD69" s="945"/>
      <c r="FE69" s="945"/>
      <c r="FF69" s="945"/>
      <c r="FG69" s="945"/>
      <c r="FH69" s="945"/>
      <c r="FI69" s="945"/>
      <c r="FJ69" s="945"/>
      <c r="FK69" s="945"/>
      <c r="FL69" s="945"/>
      <c r="FM69" s="945"/>
      <c r="FN69" s="945"/>
      <c r="FO69" s="945"/>
      <c r="FP69" s="945"/>
      <c r="FQ69" s="945"/>
      <c r="FR69" s="945"/>
      <c r="FS69" s="945"/>
      <c r="FT69" s="945"/>
      <c r="FU69" s="945"/>
      <c r="FV69" s="945"/>
      <c r="FW69" s="945"/>
      <c r="FX69" s="945"/>
      <c r="FY69" s="945"/>
      <c r="FZ69" s="945"/>
      <c r="GA69" s="945"/>
      <c r="GB69" s="945"/>
      <c r="GC69" s="945"/>
      <c r="GD69" s="945"/>
      <c r="GE69" s="945"/>
      <c r="GF69" s="945"/>
      <c r="GG69" s="945"/>
      <c r="GH69" s="945"/>
      <c r="GI69" s="945"/>
      <c r="GJ69" s="945"/>
      <c r="GK69" s="945"/>
      <c r="GL69" s="945"/>
      <c r="GM69" s="945"/>
      <c r="GN69" s="945"/>
      <c r="GO69" s="945"/>
      <c r="GP69" s="945"/>
      <c r="GQ69" s="945"/>
      <c r="GR69" s="945"/>
      <c r="GS69" s="945"/>
      <c r="GT69" s="945"/>
      <c r="GU69" s="945"/>
      <c r="GV69" s="945"/>
      <c r="GW69" s="945"/>
      <c r="GX69" s="945"/>
      <c r="GY69" s="945"/>
      <c r="GZ69" s="945"/>
      <c r="HA69" s="945"/>
      <c r="HB69" s="945"/>
      <c r="HC69" s="945"/>
      <c r="HD69" s="945"/>
      <c r="HE69" s="945"/>
      <c r="HF69" s="945"/>
      <c r="HG69" s="945"/>
      <c r="HH69" s="945"/>
      <c r="HI69" s="945"/>
      <c r="HJ69" s="945"/>
      <c r="HK69" s="945"/>
      <c r="HL69" s="945"/>
      <c r="HM69" s="945"/>
      <c r="HN69" s="945"/>
      <c r="HO69" s="945"/>
      <c r="HP69" s="945"/>
      <c r="HQ69" s="945"/>
      <c r="HR69" s="945"/>
      <c r="HS69" s="945"/>
      <c r="HT69" s="945"/>
      <c r="HU69" s="945"/>
      <c r="HV69" s="945"/>
      <c r="HW69" s="945"/>
      <c r="HX69" s="945"/>
      <c r="HY69" s="945"/>
      <c r="HZ69" s="945"/>
      <c r="IA69" s="945"/>
      <c r="IB69" s="945"/>
      <c r="IC69" s="945"/>
      <c r="ID69" s="945"/>
      <c r="IE69" s="945"/>
      <c r="IF69" s="945"/>
      <c r="IG69" s="945"/>
      <c r="IH69" s="945"/>
      <c r="II69" s="945"/>
      <c r="IJ69" s="945"/>
      <c r="IK69" s="945"/>
      <c r="IL69" s="945"/>
      <c r="IM69" s="945"/>
      <c r="IN69" s="945"/>
      <c r="IO69" s="945"/>
      <c r="IP69" s="945"/>
      <c r="IQ69" s="945"/>
      <c r="IR69" s="945"/>
      <c r="IS69" s="945"/>
      <c r="IT69" s="945"/>
      <c r="IU69" s="945"/>
      <c r="IV69" s="945"/>
      <c r="IW69" s="945"/>
      <c r="IX69" s="945"/>
      <c r="IY69" s="945"/>
      <c r="IZ69" s="945"/>
      <c r="JA69" s="945"/>
      <c r="JB69" s="945"/>
      <c r="JC69" s="945"/>
      <c r="JD69" s="945"/>
      <c r="JE69" s="945"/>
      <c r="JF69" s="945"/>
      <c r="JG69" s="945"/>
      <c r="JH69" s="945"/>
      <c r="JI69" s="945"/>
      <c r="JJ69" s="945"/>
      <c r="JK69" s="945"/>
      <c r="JL69" s="945"/>
      <c r="JM69" s="945"/>
      <c r="JN69" s="945"/>
      <c r="JO69" s="945"/>
      <c r="JP69" s="945"/>
      <c r="JQ69" s="945"/>
      <c r="JR69" s="945"/>
      <c r="JS69" s="945"/>
      <c r="JT69" s="945"/>
      <c r="JU69" s="945"/>
      <c r="JV69" s="945"/>
      <c r="JW69" s="945"/>
      <c r="JX69" s="945"/>
      <c r="JY69" s="945"/>
      <c r="JZ69" s="945"/>
      <c r="KA69" s="945"/>
      <c r="KB69" s="945"/>
      <c r="KC69" s="945"/>
      <c r="KD69" s="945"/>
      <c r="KE69" s="945"/>
      <c r="KF69" s="945"/>
      <c r="KG69" s="945"/>
      <c r="KH69" s="945"/>
      <c r="KI69" s="945"/>
      <c r="KJ69" s="945"/>
      <c r="KK69" s="945"/>
      <c r="KL69" s="945"/>
      <c r="KM69" s="945"/>
      <c r="KN69" s="945"/>
      <c r="KO69" s="945"/>
      <c r="KP69" s="945"/>
      <c r="KQ69" s="945"/>
      <c r="KR69" s="945"/>
      <c r="KS69" s="945"/>
      <c r="KT69" s="945"/>
      <c r="KU69" s="945"/>
      <c r="KV69" s="945"/>
      <c r="KW69" s="945"/>
      <c r="KX69" s="945"/>
      <c r="KY69" s="945"/>
      <c r="KZ69" s="945"/>
      <c r="LA69" s="945"/>
      <c r="LB69" s="945"/>
      <c r="LC69" s="945"/>
      <c r="LD69" s="945"/>
      <c r="LE69" s="945"/>
      <c r="LF69" s="945"/>
      <c r="LG69" s="945"/>
      <c r="LH69" s="945"/>
      <c r="LI69" s="945"/>
      <c r="LJ69" s="945"/>
      <c r="LK69" s="945"/>
      <c r="LL69" s="945"/>
      <c r="LM69" s="945"/>
      <c r="LN69" s="945"/>
      <c r="LO69" s="945"/>
      <c r="LP69" s="945"/>
      <c r="LQ69" s="945"/>
      <c r="LR69" s="945"/>
      <c r="LS69" s="945"/>
      <c r="LT69" s="945"/>
      <c r="LU69" s="945"/>
      <c r="LV69" s="945"/>
      <c r="LW69" s="945"/>
      <c r="LX69" s="945"/>
      <c r="LY69" s="945"/>
      <c r="LZ69" s="945"/>
      <c r="MA69" s="945"/>
      <c r="MB69" s="945"/>
      <c r="MC69" s="945"/>
      <c r="MD69" s="945"/>
      <c r="ME69" s="945"/>
      <c r="MF69" s="945"/>
      <c r="MG69" s="945"/>
      <c r="MH69" s="945"/>
      <c r="MI69" s="945"/>
      <c r="MJ69" s="945"/>
      <c r="MK69" s="945"/>
      <c r="ML69" s="945"/>
      <c r="MM69" s="945"/>
      <c r="MN69" s="945"/>
      <c r="MO69" s="945"/>
      <c r="MP69" s="945"/>
      <c r="MQ69" s="945"/>
      <c r="MR69" s="945"/>
      <c r="MS69" s="945"/>
      <c r="MT69" s="945"/>
      <c r="MU69" s="945"/>
      <c r="MV69" s="945"/>
      <c r="MW69" s="945"/>
      <c r="MX69" s="945"/>
      <c r="MY69" s="945"/>
      <c r="MZ69" s="945"/>
      <c r="NA69" s="945"/>
      <c r="NB69" s="945"/>
      <c r="NC69" s="945"/>
      <c r="ND69" s="945"/>
      <c r="NE69" s="945"/>
      <c r="NF69" s="945"/>
      <c r="NG69" s="945"/>
      <c r="NH69" s="945"/>
      <c r="NI69" s="945"/>
      <c r="NJ69" s="945"/>
      <c r="NK69" s="945"/>
      <c r="NL69" s="945"/>
      <c r="NM69" s="945"/>
      <c r="NN69" s="945"/>
      <c r="NO69" s="945"/>
      <c r="NP69" s="945"/>
      <c r="NQ69" s="945"/>
      <c r="NR69" s="945"/>
      <c r="NS69" s="945"/>
      <c r="NT69" s="945"/>
      <c r="NU69" s="945"/>
      <c r="NV69" s="945"/>
      <c r="NW69" s="945"/>
      <c r="NX69" s="945"/>
      <c r="NY69" s="945"/>
      <c r="NZ69" s="945"/>
      <c r="OA69" s="945"/>
      <c r="OB69" s="945"/>
      <c r="OC69" s="945"/>
      <c r="OD69" s="945"/>
      <c r="OE69" s="945"/>
      <c r="OF69" s="945"/>
      <c r="OG69" s="945"/>
      <c r="OH69" s="945"/>
      <c r="OI69" s="945"/>
      <c r="OJ69" s="945"/>
      <c r="OK69" s="945"/>
      <c r="OL69" s="945"/>
      <c r="OM69" s="945"/>
      <c r="ON69" s="945"/>
      <c r="OO69" s="945"/>
      <c r="OP69" s="945"/>
      <c r="OQ69" s="945"/>
      <c r="OR69" s="945"/>
      <c r="OS69" s="945"/>
      <c r="OT69" s="945"/>
      <c r="OU69" s="945"/>
      <c r="OV69" s="945"/>
      <c r="OW69" s="945"/>
      <c r="OX69" s="945"/>
      <c r="OY69" s="945"/>
      <c r="OZ69" s="945"/>
      <c r="PA69" s="945"/>
      <c r="PB69" s="945"/>
      <c r="PC69" s="945"/>
      <c r="PD69" s="945"/>
      <c r="PE69" s="945"/>
      <c r="PF69" s="945"/>
      <c r="PG69" s="945"/>
      <c r="PH69" s="945"/>
      <c r="PI69" s="945"/>
      <c r="PJ69" s="945"/>
      <c r="PK69" s="945"/>
      <c r="PL69" s="945"/>
      <c r="PM69" s="945"/>
      <c r="PN69" s="945"/>
      <c r="PO69" s="945"/>
      <c r="PP69" s="945"/>
      <c r="PQ69" s="945"/>
      <c r="PR69" s="945"/>
      <c r="PS69" s="945"/>
      <c r="PT69" s="945"/>
      <c r="PU69" s="945"/>
      <c r="PV69" s="945"/>
      <c r="PW69" s="945"/>
      <c r="PX69" s="945"/>
      <c r="PY69" s="945"/>
      <c r="PZ69" s="945"/>
      <c r="QA69" s="945"/>
      <c r="QB69" s="945"/>
      <c r="QC69" s="945"/>
      <c r="QD69" s="945"/>
      <c r="QE69" s="945"/>
      <c r="QF69" s="945"/>
      <c r="QG69" s="945"/>
      <c r="QH69" s="945"/>
      <c r="QI69" s="945"/>
      <c r="QJ69" s="945"/>
      <c r="QK69" s="945"/>
      <c r="QL69" s="945"/>
      <c r="QM69" s="945"/>
      <c r="QN69" s="945"/>
      <c r="QO69" s="945"/>
      <c r="QP69" s="945"/>
      <c r="QQ69" s="945"/>
      <c r="QR69" s="945"/>
      <c r="QS69" s="945"/>
      <c r="QT69" s="945"/>
      <c r="QU69" s="945"/>
      <c r="QV69" s="945"/>
      <c r="QW69" s="945"/>
      <c r="QX69" s="945"/>
      <c r="QY69" s="945"/>
      <c r="QZ69" s="945"/>
      <c r="RA69" s="945"/>
      <c r="RB69" s="945"/>
      <c r="RC69" s="945"/>
      <c r="RD69" s="945"/>
      <c r="RE69" s="945"/>
      <c r="RF69" s="945"/>
      <c r="RG69" s="945"/>
      <c r="RH69" s="945"/>
      <c r="RI69" s="945"/>
      <c r="RJ69" s="945"/>
      <c r="RK69" s="945"/>
      <c r="RL69" s="945"/>
      <c r="RM69" s="945"/>
      <c r="RN69" s="945"/>
      <c r="RO69" s="945"/>
      <c r="RP69" s="945"/>
      <c r="RQ69" s="945"/>
      <c r="RR69" s="945"/>
      <c r="RS69" s="945"/>
      <c r="RT69" s="945"/>
      <c r="RU69" s="945"/>
      <c r="RV69" s="945"/>
      <c r="RW69" s="945"/>
      <c r="RX69" s="945"/>
    </row>
    <row r="70" spans="1:492" s="165" customFormat="1">
      <c r="A70" s="945"/>
      <c r="B70" s="945"/>
      <c r="C70" s="945"/>
      <c r="D70" s="945"/>
      <c r="E70" s="945"/>
      <c r="F70" s="945"/>
      <c r="G70" s="945"/>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8"/>
      <c r="AN70" s="948"/>
      <c r="AO70" s="948"/>
      <c r="AP70" s="948"/>
      <c r="AQ70" s="948"/>
      <c r="AR70" s="948"/>
      <c r="AS70" s="948"/>
      <c r="AT70" s="948"/>
      <c r="AU70" s="948"/>
      <c r="AV70" s="948"/>
      <c r="AW70" s="948"/>
      <c r="AX70" s="948"/>
      <c r="AY70" s="948"/>
      <c r="AZ70" s="948"/>
      <c r="BA70" s="948"/>
      <c r="BB70" s="948"/>
      <c r="BC70" s="948"/>
      <c r="BD70" s="948"/>
      <c r="BE70" s="948"/>
      <c r="BF70" s="948"/>
      <c r="BG70" s="948"/>
      <c r="BH70" s="948"/>
      <c r="BI70" s="948"/>
      <c r="BJ70" s="948"/>
      <c r="BK70" s="948"/>
      <c r="BL70" s="948"/>
      <c r="BM70" s="948"/>
      <c r="BN70" s="948"/>
      <c r="BO70" s="948"/>
      <c r="BP70" s="948"/>
      <c r="BQ70" s="948"/>
      <c r="BR70" s="948"/>
      <c r="BS70" s="948"/>
      <c r="BT70" s="948"/>
      <c r="BU70" s="948"/>
      <c r="BV70" s="948"/>
      <c r="BW70" s="948"/>
      <c r="BX70" s="948"/>
      <c r="BY70" s="948"/>
      <c r="BZ70" s="948"/>
      <c r="CA70" s="945"/>
      <c r="CB70" s="945"/>
      <c r="CC70" s="945"/>
      <c r="CD70" s="945"/>
      <c r="CE70" s="945"/>
      <c r="CF70" s="945"/>
      <c r="CG70" s="945"/>
      <c r="CH70" s="945"/>
      <c r="CI70" s="945"/>
      <c r="CJ70" s="945"/>
      <c r="CK70" s="945"/>
      <c r="CL70" s="945"/>
      <c r="CM70" s="945"/>
      <c r="CN70" s="945"/>
      <c r="CO70" s="945"/>
      <c r="CP70" s="945"/>
      <c r="CQ70" s="945"/>
      <c r="CR70" s="945"/>
      <c r="CS70" s="945"/>
      <c r="CT70" s="945"/>
      <c r="CU70" s="945"/>
      <c r="CV70" s="945"/>
      <c r="CW70" s="945"/>
      <c r="CX70" s="945"/>
      <c r="CY70" s="945"/>
      <c r="CZ70" s="945"/>
      <c r="DA70" s="945"/>
      <c r="DB70" s="945"/>
      <c r="DC70" s="945"/>
      <c r="DD70" s="945"/>
      <c r="DE70" s="945"/>
      <c r="DF70" s="945"/>
      <c r="DG70" s="945"/>
      <c r="DH70" s="945"/>
      <c r="DI70" s="945"/>
      <c r="DJ70" s="945"/>
      <c r="DK70" s="945"/>
      <c r="DL70" s="945"/>
      <c r="DM70" s="945"/>
      <c r="DN70" s="945"/>
      <c r="DO70" s="945"/>
      <c r="DP70" s="945"/>
      <c r="DQ70" s="945"/>
      <c r="DR70" s="945"/>
      <c r="DS70" s="945"/>
      <c r="DT70" s="945"/>
      <c r="DU70" s="945"/>
      <c r="DV70" s="945"/>
      <c r="DW70" s="945"/>
      <c r="DX70" s="945"/>
      <c r="DY70" s="945"/>
      <c r="DZ70" s="945"/>
      <c r="EA70" s="945"/>
      <c r="EB70" s="945"/>
      <c r="EC70" s="945"/>
      <c r="ED70" s="945"/>
      <c r="EE70" s="945"/>
      <c r="EF70" s="945"/>
      <c r="EG70" s="945"/>
      <c r="EH70" s="945"/>
      <c r="EI70" s="945"/>
      <c r="EJ70" s="945"/>
      <c r="EK70" s="945"/>
      <c r="EL70" s="945"/>
      <c r="EM70" s="945"/>
      <c r="EN70" s="945"/>
      <c r="EO70" s="945"/>
      <c r="EP70" s="945"/>
      <c r="EQ70" s="945"/>
      <c r="ER70" s="945"/>
      <c r="ES70" s="945"/>
      <c r="ET70" s="945"/>
      <c r="EU70" s="945"/>
      <c r="EV70" s="945"/>
      <c r="EW70" s="945"/>
      <c r="EX70" s="945"/>
      <c r="EY70" s="945"/>
      <c r="EZ70" s="945"/>
      <c r="FA70" s="945"/>
      <c r="FB70" s="945"/>
      <c r="FC70" s="945"/>
      <c r="FD70" s="945"/>
      <c r="FE70" s="945"/>
      <c r="FF70" s="945"/>
      <c r="FG70" s="945"/>
      <c r="FH70" s="945"/>
      <c r="FI70" s="945"/>
      <c r="FJ70" s="945"/>
      <c r="FK70" s="945"/>
      <c r="FL70" s="945"/>
      <c r="FM70" s="945"/>
      <c r="FN70" s="945"/>
      <c r="FO70" s="945"/>
      <c r="FP70" s="945"/>
      <c r="FQ70" s="945"/>
      <c r="FR70" s="945"/>
      <c r="FS70" s="945"/>
      <c r="FT70" s="945"/>
      <c r="FU70" s="945"/>
      <c r="FV70" s="945"/>
      <c r="FW70" s="945"/>
      <c r="FX70" s="945"/>
      <c r="FY70" s="945"/>
      <c r="FZ70" s="945"/>
      <c r="GA70" s="945"/>
      <c r="GB70" s="945"/>
      <c r="GC70" s="945"/>
      <c r="GD70" s="945"/>
      <c r="GE70" s="945"/>
      <c r="GF70" s="945"/>
      <c r="GG70" s="945"/>
      <c r="GH70" s="945"/>
      <c r="GI70" s="945"/>
      <c r="GJ70" s="945"/>
      <c r="GK70" s="945"/>
      <c r="GL70" s="945"/>
      <c r="GM70" s="945"/>
      <c r="GN70" s="945"/>
      <c r="GO70" s="945"/>
      <c r="GP70" s="945"/>
      <c r="GQ70" s="945"/>
      <c r="GR70" s="945"/>
      <c r="GS70" s="945"/>
      <c r="GT70" s="945"/>
      <c r="GU70" s="945"/>
      <c r="GV70" s="945"/>
      <c r="GW70" s="945"/>
      <c r="GX70" s="945"/>
      <c r="GY70" s="945"/>
      <c r="GZ70" s="945"/>
      <c r="HA70" s="945"/>
      <c r="HB70" s="945"/>
      <c r="HC70" s="945"/>
      <c r="HD70" s="945"/>
      <c r="HE70" s="945"/>
      <c r="HF70" s="945"/>
      <c r="HG70" s="945"/>
      <c r="HH70" s="945"/>
      <c r="HI70" s="945"/>
      <c r="HJ70" s="945"/>
      <c r="HK70" s="945"/>
      <c r="HL70" s="945"/>
      <c r="HM70" s="945"/>
      <c r="HN70" s="945"/>
      <c r="HO70" s="945"/>
      <c r="HP70" s="945"/>
      <c r="HQ70" s="945"/>
      <c r="HR70" s="945"/>
      <c r="HS70" s="945"/>
      <c r="HT70" s="945"/>
      <c r="HU70" s="945"/>
      <c r="HV70" s="945"/>
      <c r="HW70" s="945"/>
      <c r="HX70" s="945"/>
      <c r="HY70" s="945"/>
      <c r="HZ70" s="945"/>
      <c r="IA70" s="945"/>
      <c r="IB70" s="945"/>
      <c r="IC70" s="945"/>
      <c r="ID70" s="945"/>
      <c r="IE70" s="945"/>
      <c r="IF70" s="945"/>
      <c r="IG70" s="945"/>
      <c r="IH70" s="945"/>
      <c r="II70" s="945"/>
      <c r="IJ70" s="945"/>
      <c r="IK70" s="945"/>
      <c r="IL70" s="945"/>
      <c r="IM70" s="945"/>
      <c r="IN70" s="945"/>
      <c r="IO70" s="945"/>
      <c r="IP70" s="945"/>
      <c r="IQ70" s="945"/>
      <c r="IR70" s="945"/>
      <c r="IS70" s="945"/>
      <c r="IT70" s="945"/>
      <c r="IU70" s="945"/>
      <c r="IV70" s="945"/>
      <c r="IW70" s="945"/>
      <c r="IX70" s="945"/>
      <c r="IY70" s="945"/>
      <c r="IZ70" s="945"/>
      <c r="JA70" s="945"/>
      <c r="JB70" s="945"/>
      <c r="JC70" s="945"/>
      <c r="JD70" s="945"/>
      <c r="JE70" s="945"/>
      <c r="JF70" s="945"/>
      <c r="JG70" s="945"/>
      <c r="JH70" s="945"/>
      <c r="JI70" s="945"/>
      <c r="JJ70" s="945"/>
      <c r="JK70" s="945"/>
      <c r="JL70" s="945"/>
      <c r="JM70" s="945"/>
      <c r="JN70" s="945"/>
      <c r="JO70" s="945"/>
      <c r="JP70" s="945"/>
      <c r="JQ70" s="945"/>
      <c r="JR70" s="945"/>
      <c r="JS70" s="945"/>
      <c r="JT70" s="945"/>
      <c r="JU70" s="945"/>
      <c r="JV70" s="945"/>
      <c r="JW70" s="945"/>
      <c r="JX70" s="945"/>
      <c r="JY70" s="945"/>
      <c r="JZ70" s="945"/>
      <c r="KA70" s="945"/>
      <c r="KB70" s="945"/>
      <c r="KC70" s="945"/>
      <c r="KD70" s="945"/>
      <c r="KE70" s="945"/>
      <c r="KF70" s="945"/>
      <c r="KG70" s="945"/>
      <c r="KH70" s="945"/>
      <c r="KI70" s="945"/>
      <c r="KJ70" s="945"/>
      <c r="KK70" s="945"/>
      <c r="KL70" s="945"/>
      <c r="KM70" s="945"/>
      <c r="KN70" s="945"/>
      <c r="KO70" s="945"/>
      <c r="KP70" s="945"/>
      <c r="KQ70" s="945"/>
      <c r="KR70" s="945"/>
      <c r="KS70" s="945"/>
      <c r="KT70" s="945"/>
      <c r="KU70" s="945"/>
      <c r="KV70" s="945"/>
      <c r="KW70" s="945"/>
      <c r="KX70" s="945"/>
      <c r="KY70" s="945"/>
      <c r="KZ70" s="945"/>
      <c r="LA70" s="945"/>
      <c r="LB70" s="945"/>
      <c r="LC70" s="945"/>
      <c r="LD70" s="945"/>
      <c r="LE70" s="945"/>
      <c r="LF70" s="945"/>
      <c r="LG70" s="945"/>
      <c r="LH70" s="945"/>
      <c r="LI70" s="945"/>
      <c r="LJ70" s="945"/>
      <c r="LK70" s="945"/>
      <c r="LL70" s="945"/>
      <c r="LM70" s="945"/>
      <c r="LN70" s="945"/>
      <c r="LO70" s="945"/>
      <c r="LP70" s="945"/>
      <c r="LQ70" s="945"/>
      <c r="LR70" s="945"/>
      <c r="LS70" s="945"/>
      <c r="LT70" s="945"/>
      <c r="LU70" s="945"/>
      <c r="LV70" s="945"/>
      <c r="LW70" s="945"/>
      <c r="LX70" s="945"/>
      <c r="LY70" s="945"/>
      <c r="LZ70" s="945"/>
      <c r="MA70" s="945"/>
      <c r="MB70" s="945"/>
      <c r="MC70" s="945"/>
      <c r="MD70" s="945"/>
      <c r="ME70" s="945"/>
      <c r="MF70" s="945"/>
      <c r="MG70" s="945"/>
      <c r="MH70" s="945"/>
      <c r="MI70" s="945"/>
      <c r="MJ70" s="945"/>
      <c r="MK70" s="945"/>
      <c r="ML70" s="945"/>
      <c r="MM70" s="945"/>
      <c r="MN70" s="945"/>
      <c r="MO70" s="945"/>
      <c r="MP70" s="945"/>
      <c r="MQ70" s="945"/>
      <c r="MR70" s="945"/>
      <c r="MS70" s="945"/>
      <c r="MT70" s="945"/>
      <c r="MU70" s="945"/>
      <c r="MV70" s="945"/>
      <c r="MW70" s="945"/>
      <c r="MX70" s="945"/>
      <c r="MY70" s="945"/>
      <c r="MZ70" s="945"/>
      <c r="NA70" s="945"/>
      <c r="NB70" s="945"/>
      <c r="NC70" s="945"/>
      <c r="ND70" s="945"/>
      <c r="NE70" s="945"/>
      <c r="NF70" s="945"/>
      <c r="NG70" s="945"/>
      <c r="NH70" s="945"/>
      <c r="NI70" s="945"/>
      <c r="NJ70" s="945"/>
      <c r="NK70" s="945"/>
      <c r="NL70" s="945"/>
      <c r="NM70" s="945"/>
      <c r="NN70" s="945"/>
      <c r="NO70" s="945"/>
      <c r="NP70" s="945"/>
      <c r="NQ70" s="945"/>
      <c r="NR70" s="945"/>
      <c r="NS70" s="945"/>
      <c r="NT70" s="945"/>
      <c r="NU70" s="945"/>
      <c r="NV70" s="945"/>
      <c r="NW70" s="945"/>
      <c r="NX70" s="945"/>
      <c r="NY70" s="945"/>
      <c r="NZ70" s="945"/>
      <c r="OA70" s="945"/>
      <c r="OB70" s="945"/>
      <c r="OC70" s="945"/>
      <c r="OD70" s="945"/>
      <c r="OE70" s="945"/>
      <c r="OF70" s="945"/>
      <c r="OG70" s="945"/>
      <c r="OH70" s="945"/>
      <c r="OI70" s="945"/>
      <c r="OJ70" s="945"/>
      <c r="OK70" s="945"/>
      <c r="OL70" s="945"/>
      <c r="OM70" s="945"/>
      <c r="ON70" s="945"/>
      <c r="OO70" s="945"/>
      <c r="OP70" s="945"/>
      <c r="OQ70" s="945"/>
      <c r="OR70" s="945"/>
      <c r="OS70" s="945"/>
      <c r="OT70" s="945"/>
      <c r="OU70" s="945"/>
      <c r="OV70" s="945"/>
      <c r="OW70" s="945"/>
      <c r="OX70" s="945"/>
      <c r="OY70" s="945"/>
      <c r="OZ70" s="945"/>
      <c r="PA70" s="945"/>
      <c r="PB70" s="945"/>
      <c r="PC70" s="945"/>
      <c r="PD70" s="945"/>
      <c r="PE70" s="945"/>
      <c r="PF70" s="945"/>
      <c r="PG70" s="945"/>
      <c r="PH70" s="945"/>
      <c r="PI70" s="945"/>
      <c r="PJ70" s="945"/>
      <c r="PK70" s="945"/>
      <c r="PL70" s="945"/>
      <c r="PM70" s="945"/>
      <c r="PN70" s="945"/>
      <c r="PO70" s="945"/>
      <c r="PP70" s="945"/>
      <c r="PQ70" s="945"/>
      <c r="PR70" s="945"/>
      <c r="PS70" s="945"/>
      <c r="PT70" s="945"/>
      <c r="PU70" s="945"/>
      <c r="PV70" s="945"/>
      <c r="PW70" s="945"/>
      <c r="PX70" s="945"/>
      <c r="PY70" s="945"/>
      <c r="PZ70" s="945"/>
      <c r="QA70" s="945"/>
      <c r="QB70" s="945"/>
      <c r="QC70" s="945"/>
      <c r="QD70" s="945"/>
      <c r="QE70" s="945"/>
      <c r="QF70" s="945"/>
      <c r="QG70" s="945"/>
      <c r="QH70" s="945"/>
      <c r="QI70" s="945"/>
      <c r="QJ70" s="945"/>
      <c r="QK70" s="945"/>
      <c r="QL70" s="945"/>
      <c r="QM70" s="945"/>
      <c r="QN70" s="945"/>
      <c r="QO70" s="945"/>
      <c r="QP70" s="945"/>
      <c r="QQ70" s="945"/>
      <c r="QR70" s="945"/>
      <c r="QS70" s="945"/>
      <c r="QT70" s="945"/>
      <c r="QU70" s="945"/>
      <c r="QV70" s="945"/>
      <c r="QW70" s="945"/>
      <c r="QX70" s="945"/>
      <c r="QY70" s="945"/>
      <c r="QZ70" s="945"/>
      <c r="RA70" s="945"/>
      <c r="RB70" s="945"/>
      <c r="RC70" s="945"/>
      <c r="RD70" s="945"/>
      <c r="RE70" s="945"/>
      <c r="RF70" s="945"/>
      <c r="RG70" s="945"/>
      <c r="RH70" s="945"/>
      <c r="RI70" s="945"/>
      <c r="RJ70" s="945"/>
      <c r="RK70" s="945"/>
      <c r="RL70" s="945"/>
      <c r="RM70" s="945"/>
      <c r="RN70" s="945"/>
      <c r="RO70" s="945"/>
      <c r="RP70" s="945"/>
      <c r="RQ70" s="945"/>
      <c r="RR70" s="945"/>
      <c r="RS70" s="945"/>
      <c r="RT70" s="945"/>
      <c r="RU70" s="945"/>
      <c r="RV70" s="945"/>
      <c r="RW70" s="945"/>
      <c r="RX70" s="945"/>
    </row>
    <row r="71" spans="1:492" s="165" customFormat="1">
      <c r="A71" s="945"/>
      <c r="B71" s="945"/>
      <c r="C71" s="945"/>
      <c r="D71" s="945"/>
      <c r="E71" s="945"/>
      <c r="F71" s="945"/>
      <c r="G71" s="945"/>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8"/>
      <c r="AN71" s="948"/>
      <c r="AO71" s="948"/>
      <c r="AP71" s="948"/>
      <c r="AQ71" s="948"/>
      <c r="AR71" s="948"/>
      <c r="AS71" s="948"/>
      <c r="AT71" s="948"/>
      <c r="AU71" s="948"/>
      <c r="AV71" s="948"/>
      <c r="AW71" s="948"/>
      <c r="AX71" s="948"/>
      <c r="AY71" s="948"/>
      <c r="AZ71" s="948"/>
      <c r="BA71" s="948"/>
      <c r="BB71" s="948"/>
      <c r="BC71" s="948"/>
      <c r="BD71" s="948"/>
      <c r="BE71" s="948"/>
      <c r="BF71" s="948"/>
      <c r="BG71" s="948"/>
      <c r="BH71" s="948"/>
      <c r="BI71" s="948"/>
      <c r="BJ71" s="948"/>
      <c r="BK71" s="948"/>
      <c r="BL71" s="948"/>
      <c r="BM71" s="948"/>
      <c r="BN71" s="948"/>
      <c r="BO71" s="948"/>
      <c r="BP71" s="948"/>
      <c r="BQ71" s="948"/>
      <c r="BR71" s="948"/>
      <c r="BS71" s="948"/>
      <c r="BT71" s="948"/>
      <c r="BU71" s="948"/>
      <c r="BV71" s="948"/>
      <c r="BW71" s="948"/>
      <c r="BX71" s="948"/>
      <c r="BY71" s="948"/>
      <c r="BZ71" s="948"/>
      <c r="CA71" s="945"/>
      <c r="CB71" s="945"/>
      <c r="CC71" s="945"/>
      <c r="CD71" s="945"/>
      <c r="CE71" s="945"/>
      <c r="CF71" s="945"/>
      <c r="CG71" s="945"/>
      <c r="CH71" s="945"/>
      <c r="CI71" s="945"/>
      <c r="CJ71" s="945"/>
      <c r="CK71" s="945"/>
      <c r="CL71" s="945"/>
      <c r="CM71" s="945"/>
      <c r="CN71" s="945"/>
      <c r="CO71" s="945"/>
      <c r="CP71" s="945"/>
      <c r="CQ71" s="945"/>
      <c r="CR71" s="945"/>
      <c r="CS71" s="945"/>
      <c r="CT71" s="945"/>
      <c r="CU71" s="945"/>
      <c r="CV71" s="945"/>
      <c r="CW71" s="945"/>
      <c r="CX71" s="945"/>
      <c r="CY71" s="945"/>
      <c r="CZ71" s="945"/>
      <c r="DA71" s="945"/>
      <c r="DB71" s="945"/>
      <c r="DC71" s="945"/>
      <c r="DD71" s="945"/>
      <c r="DE71" s="945"/>
      <c r="DF71" s="945"/>
      <c r="DG71" s="945"/>
      <c r="DH71" s="945"/>
      <c r="DI71" s="945"/>
      <c r="DJ71" s="945"/>
      <c r="DK71" s="945"/>
      <c r="DL71" s="945"/>
      <c r="DM71" s="945"/>
      <c r="DN71" s="945"/>
      <c r="DO71" s="945"/>
      <c r="DP71" s="945"/>
      <c r="DQ71" s="945"/>
      <c r="DR71" s="945"/>
      <c r="DS71" s="945"/>
      <c r="DT71" s="945"/>
      <c r="DU71" s="945"/>
      <c r="DV71" s="945"/>
      <c r="DW71" s="945"/>
      <c r="DX71" s="945"/>
      <c r="DY71" s="945"/>
      <c r="DZ71" s="945"/>
      <c r="EA71" s="945"/>
      <c r="EB71" s="945"/>
      <c r="EC71" s="945"/>
      <c r="ED71" s="945"/>
      <c r="EE71" s="945"/>
      <c r="EF71" s="945"/>
      <c r="EG71" s="945"/>
      <c r="EH71" s="945"/>
      <c r="EI71" s="945"/>
      <c r="EJ71" s="945"/>
      <c r="EK71" s="945"/>
      <c r="EL71" s="945"/>
      <c r="EM71" s="945"/>
      <c r="EN71" s="945"/>
      <c r="EO71" s="945"/>
      <c r="EP71" s="945"/>
      <c r="EQ71" s="945"/>
      <c r="ER71" s="945"/>
      <c r="ES71" s="945"/>
      <c r="ET71" s="945"/>
      <c r="EU71" s="945"/>
      <c r="EV71" s="945"/>
      <c r="EW71" s="945"/>
      <c r="EX71" s="945"/>
      <c r="EY71" s="945"/>
      <c r="EZ71" s="945"/>
      <c r="FA71" s="945"/>
      <c r="FB71" s="945"/>
      <c r="FC71" s="945"/>
      <c r="FD71" s="945"/>
      <c r="FE71" s="945"/>
      <c r="FF71" s="945"/>
      <c r="FG71" s="945"/>
      <c r="FH71" s="945"/>
      <c r="FI71" s="945"/>
      <c r="FJ71" s="945"/>
      <c r="FK71" s="945"/>
      <c r="FL71" s="945"/>
      <c r="FM71" s="945"/>
      <c r="FN71" s="945"/>
      <c r="FO71" s="945"/>
      <c r="FP71" s="945"/>
      <c r="FQ71" s="945"/>
      <c r="FR71" s="945"/>
      <c r="FS71" s="945"/>
      <c r="FT71" s="945"/>
      <c r="FU71" s="945"/>
      <c r="FV71" s="945"/>
      <c r="FW71" s="945"/>
      <c r="FX71" s="945"/>
      <c r="FY71" s="945"/>
      <c r="FZ71" s="945"/>
      <c r="GA71" s="945"/>
      <c r="GB71" s="945"/>
      <c r="GC71" s="945"/>
      <c r="GD71" s="945"/>
      <c r="GE71" s="945"/>
      <c r="GF71" s="945"/>
      <c r="GG71" s="945"/>
      <c r="GH71" s="945"/>
      <c r="GI71" s="945"/>
      <c r="GJ71" s="945"/>
      <c r="GK71" s="945"/>
      <c r="GL71" s="945"/>
      <c r="GM71" s="945"/>
      <c r="GN71" s="945"/>
      <c r="GO71" s="945"/>
      <c r="GP71" s="945"/>
      <c r="GQ71" s="945"/>
      <c r="GR71" s="945"/>
      <c r="GS71" s="945"/>
      <c r="GT71" s="945"/>
      <c r="GU71" s="945"/>
      <c r="GV71" s="945"/>
      <c r="GW71" s="945"/>
      <c r="GX71" s="945"/>
      <c r="GY71" s="945"/>
      <c r="GZ71" s="945"/>
      <c r="HA71" s="945"/>
      <c r="HB71" s="945"/>
      <c r="HC71" s="945"/>
      <c r="HD71" s="945"/>
      <c r="HE71" s="945"/>
      <c r="HF71" s="945"/>
      <c r="HG71" s="945"/>
      <c r="HH71" s="945"/>
      <c r="HI71" s="945"/>
      <c r="HJ71" s="945"/>
      <c r="HK71" s="945"/>
      <c r="HL71" s="945"/>
      <c r="HM71" s="945"/>
      <c r="HN71" s="945"/>
      <c r="HO71" s="945"/>
      <c r="HP71" s="945"/>
      <c r="HQ71" s="945"/>
      <c r="HR71" s="945"/>
      <c r="HS71" s="945"/>
      <c r="HT71" s="945"/>
      <c r="HU71" s="945"/>
      <c r="HV71" s="945"/>
      <c r="HW71" s="945"/>
      <c r="HX71" s="945"/>
      <c r="HY71" s="945"/>
      <c r="HZ71" s="945"/>
      <c r="IA71" s="945"/>
      <c r="IB71" s="945"/>
      <c r="IC71" s="945"/>
      <c r="ID71" s="945"/>
      <c r="IE71" s="945"/>
      <c r="IF71" s="945"/>
      <c r="IG71" s="945"/>
      <c r="IH71" s="945"/>
      <c r="II71" s="945"/>
      <c r="IJ71" s="945"/>
      <c r="IK71" s="945"/>
      <c r="IL71" s="945"/>
      <c r="IM71" s="945"/>
      <c r="IN71" s="945"/>
      <c r="IO71" s="945"/>
      <c r="IP71" s="945"/>
      <c r="IQ71" s="945"/>
      <c r="IR71" s="945"/>
      <c r="IS71" s="945"/>
      <c r="IT71" s="945"/>
      <c r="IU71" s="945"/>
      <c r="IV71" s="945"/>
      <c r="IW71" s="945"/>
      <c r="IX71" s="945"/>
      <c r="IY71" s="945"/>
      <c r="IZ71" s="945"/>
      <c r="JA71" s="945"/>
      <c r="JB71" s="945"/>
      <c r="JC71" s="945"/>
      <c r="JD71" s="945"/>
      <c r="JE71" s="945"/>
      <c r="JF71" s="945"/>
      <c r="JG71" s="945"/>
      <c r="JH71" s="945"/>
      <c r="JI71" s="945"/>
      <c r="JJ71" s="945"/>
      <c r="JK71" s="945"/>
      <c r="JL71" s="945"/>
      <c r="JM71" s="945"/>
      <c r="JN71" s="945"/>
      <c r="JO71" s="945"/>
      <c r="JP71" s="945"/>
      <c r="JQ71" s="945"/>
      <c r="JR71" s="945"/>
      <c r="JS71" s="945"/>
      <c r="JT71" s="945"/>
      <c r="JU71" s="945"/>
      <c r="JV71" s="945"/>
      <c r="JW71" s="945"/>
      <c r="JX71" s="945"/>
      <c r="JY71" s="945"/>
      <c r="JZ71" s="945"/>
      <c r="KA71" s="945"/>
      <c r="KB71" s="945"/>
      <c r="KC71" s="945"/>
      <c r="KD71" s="945"/>
      <c r="KE71" s="945"/>
      <c r="KF71" s="945"/>
      <c r="KG71" s="945"/>
      <c r="KH71" s="945"/>
      <c r="KI71" s="945"/>
      <c r="KJ71" s="945"/>
      <c r="KK71" s="945"/>
      <c r="KL71" s="945"/>
      <c r="KM71" s="945"/>
      <c r="KN71" s="945"/>
      <c r="KO71" s="945"/>
      <c r="KP71" s="945"/>
      <c r="KQ71" s="945"/>
      <c r="KR71" s="945"/>
      <c r="KS71" s="945"/>
      <c r="KT71" s="945"/>
      <c r="KU71" s="945"/>
      <c r="KV71" s="945"/>
      <c r="KW71" s="945"/>
      <c r="KX71" s="945"/>
      <c r="KY71" s="945"/>
      <c r="KZ71" s="945"/>
      <c r="LA71" s="945"/>
      <c r="LB71" s="945"/>
      <c r="LC71" s="945"/>
      <c r="LD71" s="945"/>
      <c r="LE71" s="945"/>
      <c r="LF71" s="945"/>
      <c r="LG71" s="945"/>
      <c r="LH71" s="945"/>
      <c r="LI71" s="945"/>
      <c r="LJ71" s="945"/>
      <c r="LK71" s="945"/>
      <c r="LL71" s="945"/>
      <c r="LM71" s="945"/>
      <c r="LN71" s="945"/>
      <c r="LO71" s="945"/>
      <c r="LP71" s="945"/>
      <c r="LQ71" s="945"/>
      <c r="LR71" s="945"/>
      <c r="LS71" s="945"/>
      <c r="LT71" s="945"/>
      <c r="LU71" s="945"/>
      <c r="LV71" s="945"/>
      <c r="LW71" s="945"/>
      <c r="LX71" s="945"/>
      <c r="LY71" s="945"/>
      <c r="LZ71" s="945"/>
      <c r="MA71" s="945"/>
      <c r="MB71" s="945"/>
      <c r="MC71" s="945"/>
      <c r="MD71" s="945"/>
      <c r="ME71" s="945"/>
      <c r="MF71" s="945"/>
      <c r="MG71" s="945"/>
      <c r="MH71" s="945"/>
      <c r="MI71" s="945"/>
      <c r="MJ71" s="945"/>
      <c r="MK71" s="945"/>
      <c r="ML71" s="945"/>
      <c r="MM71" s="945"/>
      <c r="MN71" s="945"/>
      <c r="MO71" s="945"/>
      <c r="MP71" s="945"/>
      <c r="MQ71" s="945"/>
      <c r="MR71" s="945"/>
      <c r="MS71" s="945"/>
      <c r="MT71" s="945"/>
      <c r="MU71" s="945"/>
      <c r="MV71" s="945"/>
      <c r="MW71" s="945"/>
      <c r="MX71" s="945"/>
      <c r="MY71" s="945"/>
      <c r="MZ71" s="945"/>
      <c r="NA71" s="945"/>
      <c r="NB71" s="945"/>
      <c r="NC71" s="945"/>
      <c r="ND71" s="945"/>
      <c r="NE71" s="945"/>
      <c r="NF71" s="945"/>
      <c r="NG71" s="945"/>
      <c r="NH71" s="945"/>
      <c r="NI71" s="945"/>
      <c r="NJ71" s="945"/>
      <c r="NK71" s="945"/>
      <c r="NL71" s="945"/>
      <c r="NM71" s="945"/>
      <c r="NN71" s="945"/>
      <c r="NO71" s="945"/>
      <c r="NP71" s="945"/>
      <c r="NQ71" s="945"/>
      <c r="NR71" s="945"/>
      <c r="NS71" s="945"/>
      <c r="NT71" s="945"/>
      <c r="NU71" s="945"/>
      <c r="NV71" s="945"/>
      <c r="NW71" s="945"/>
      <c r="NX71" s="945"/>
      <c r="NY71" s="945"/>
      <c r="NZ71" s="945"/>
      <c r="OA71" s="945"/>
      <c r="OB71" s="945"/>
      <c r="OC71" s="945"/>
      <c r="OD71" s="945"/>
      <c r="OE71" s="945"/>
      <c r="OF71" s="945"/>
      <c r="OG71" s="945"/>
      <c r="OH71" s="945"/>
      <c r="OI71" s="945"/>
      <c r="OJ71" s="945"/>
      <c r="OK71" s="945"/>
      <c r="OL71" s="945"/>
      <c r="OM71" s="945"/>
      <c r="ON71" s="945"/>
      <c r="OO71" s="945"/>
      <c r="OP71" s="945"/>
      <c r="OQ71" s="945"/>
      <c r="OR71" s="945"/>
      <c r="OS71" s="945"/>
      <c r="OT71" s="945"/>
      <c r="OU71" s="945"/>
      <c r="OV71" s="945"/>
      <c r="OW71" s="945"/>
      <c r="OX71" s="945"/>
      <c r="OY71" s="945"/>
      <c r="OZ71" s="945"/>
      <c r="PA71" s="945"/>
      <c r="PB71" s="945"/>
      <c r="PC71" s="945"/>
      <c r="PD71" s="945"/>
      <c r="PE71" s="945"/>
      <c r="PF71" s="945"/>
      <c r="PG71" s="945"/>
      <c r="PH71" s="945"/>
      <c r="PI71" s="945"/>
      <c r="PJ71" s="945"/>
      <c r="PK71" s="945"/>
      <c r="PL71" s="945"/>
      <c r="PM71" s="945"/>
      <c r="PN71" s="945"/>
      <c r="PO71" s="945"/>
      <c r="PP71" s="945"/>
      <c r="PQ71" s="945"/>
      <c r="PR71" s="945"/>
      <c r="PS71" s="945"/>
      <c r="PT71" s="945"/>
      <c r="PU71" s="945"/>
      <c r="PV71" s="945"/>
      <c r="PW71" s="945"/>
      <c r="PX71" s="945"/>
      <c r="PY71" s="945"/>
      <c r="PZ71" s="945"/>
      <c r="QA71" s="945"/>
      <c r="QB71" s="945"/>
      <c r="QC71" s="945"/>
      <c r="QD71" s="945"/>
      <c r="QE71" s="945"/>
      <c r="QF71" s="945"/>
      <c r="QG71" s="945"/>
      <c r="QH71" s="945"/>
      <c r="QI71" s="945"/>
      <c r="QJ71" s="945"/>
      <c r="QK71" s="945"/>
      <c r="QL71" s="945"/>
      <c r="QM71" s="945"/>
      <c r="QN71" s="945"/>
      <c r="QO71" s="945"/>
      <c r="QP71" s="945"/>
      <c r="QQ71" s="945"/>
      <c r="QR71" s="945"/>
      <c r="QS71" s="945"/>
      <c r="QT71" s="945"/>
      <c r="QU71" s="945"/>
      <c r="QV71" s="945"/>
      <c r="QW71" s="945"/>
      <c r="QX71" s="945"/>
      <c r="QY71" s="945"/>
      <c r="QZ71" s="945"/>
      <c r="RA71" s="945"/>
      <c r="RB71" s="945"/>
      <c r="RC71" s="945"/>
      <c r="RD71" s="945"/>
      <c r="RE71" s="945"/>
      <c r="RF71" s="945"/>
      <c r="RG71" s="945"/>
      <c r="RH71" s="945"/>
      <c r="RI71" s="945"/>
      <c r="RJ71" s="945"/>
      <c r="RK71" s="945"/>
      <c r="RL71" s="945"/>
      <c r="RM71" s="945"/>
      <c r="RN71" s="945"/>
      <c r="RO71" s="945"/>
      <c r="RP71" s="945"/>
      <c r="RQ71" s="945"/>
      <c r="RR71" s="945"/>
      <c r="RS71" s="945"/>
      <c r="RT71" s="945"/>
      <c r="RU71" s="945"/>
      <c r="RV71" s="945"/>
      <c r="RW71" s="945"/>
      <c r="RX71" s="945"/>
    </row>
    <row r="72" spans="1:492" s="165" customFormat="1">
      <c r="A72" s="945"/>
      <c r="B72" s="945"/>
      <c r="C72" s="945"/>
      <c r="D72" s="945"/>
      <c r="E72" s="945"/>
      <c r="F72" s="945"/>
      <c r="G72" s="945"/>
      <c r="H72" s="945"/>
      <c r="I72" s="945"/>
      <c r="J72" s="945"/>
      <c r="K72" s="945"/>
      <c r="L72" s="945"/>
      <c r="M72" s="945"/>
      <c r="N72" s="945"/>
      <c r="O72" s="945"/>
      <c r="P72" s="945"/>
      <c r="Q72" s="945"/>
      <c r="R72" s="945"/>
      <c r="S72" s="945"/>
      <c r="T72" s="945"/>
      <c r="U72" s="945"/>
      <c r="V72" s="945"/>
      <c r="W72" s="945"/>
      <c r="X72" s="945"/>
      <c r="Y72" s="945"/>
      <c r="Z72" s="945"/>
      <c r="AA72" s="945"/>
      <c r="AB72" s="945"/>
      <c r="AC72" s="945"/>
      <c r="AD72" s="945"/>
      <c r="AE72" s="945"/>
      <c r="AF72" s="945"/>
      <c r="AG72" s="945"/>
      <c r="AH72" s="945"/>
      <c r="AI72" s="945"/>
      <c r="AJ72" s="945"/>
      <c r="AK72" s="945"/>
      <c r="AL72" s="945"/>
      <c r="AM72" s="948"/>
      <c r="AN72" s="948"/>
      <c r="AO72" s="948"/>
      <c r="AP72" s="948"/>
      <c r="AQ72" s="948"/>
      <c r="AR72" s="948"/>
      <c r="AS72" s="948"/>
      <c r="AT72" s="948"/>
      <c r="AU72" s="948"/>
      <c r="AV72" s="948"/>
      <c r="AW72" s="948"/>
      <c r="AX72" s="948"/>
      <c r="AY72" s="948"/>
      <c r="AZ72" s="948"/>
      <c r="BA72" s="948"/>
      <c r="BB72" s="948"/>
      <c r="BC72" s="948"/>
      <c r="BD72" s="948"/>
      <c r="BE72" s="948"/>
      <c r="BF72" s="948"/>
      <c r="BG72" s="948"/>
      <c r="BH72" s="948"/>
      <c r="BI72" s="948"/>
      <c r="BJ72" s="948"/>
      <c r="BK72" s="948"/>
      <c r="BL72" s="948"/>
      <c r="BM72" s="948"/>
      <c r="BN72" s="948"/>
      <c r="BO72" s="948"/>
      <c r="BP72" s="948"/>
      <c r="BQ72" s="948"/>
      <c r="BR72" s="948"/>
      <c r="BS72" s="948"/>
      <c r="BT72" s="948"/>
      <c r="BU72" s="948"/>
      <c r="BV72" s="948"/>
      <c r="BW72" s="948"/>
      <c r="BX72" s="948"/>
      <c r="BY72" s="948"/>
      <c r="BZ72" s="948"/>
      <c r="CA72" s="945"/>
      <c r="CB72" s="945"/>
      <c r="CC72" s="945"/>
      <c r="CD72" s="945"/>
      <c r="CE72" s="945"/>
      <c r="CF72" s="945"/>
      <c r="CG72" s="945"/>
      <c r="CH72" s="945"/>
      <c r="CI72" s="945"/>
      <c r="CJ72" s="945"/>
      <c r="CK72" s="945"/>
      <c r="CL72" s="945"/>
      <c r="CM72" s="945"/>
      <c r="CN72" s="945"/>
      <c r="CO72" s="945"/>
      <c r="CP72" s="945"/>
      <c r="CQ72" s="945"/>
      <c r="CR72" s="945"/>
      <c r="CS72" s="945"/>
      <c r="CT72" s="945"/>
      <c r="CU72" s="945"/>
      <c r="CV72" s="945"/>
      <c r="CW72" s="945"/>
      <c r="CX72" s="945"/>
      <c r="CY72" s="945"/>
      <c r="CZ72" s="945"/>
      <c r="DA72" s="945"/>
      <c r="DB72" s="945"/>
      <c r="DC72" s="945"/>
      <c r="DD72" s="945"/>
      <c r="DE72" s="945"/>
      <c r="DF72" s="945"/>
      <c r="DG72" s="945"/>
      <c r="DH72" s="945"/>
      <c r="DI72" s="945"/>
      <c r="DJ72" s="945"/>
      <c r="DK72" s="945"/>
      <c r="DL72" s="945"/>
      <c r="DM72" s="945"/>
      <c r="DN72" s="945"/>
      <c r="DO72" s="945"/>
      <c r="DP72" s="945"/>
      <c r="DQ72" s="945"/>
      <c r="DR72" s="945"/>
      <c r="DS72" s="945"/>
      <c r="DT72" s="945"/>
      <c r="DU72" s="945"/>
      <c r="DV72" s="945"/>
      <c r="DW72" s="945"/>
      <c r="DX72" s="945"/>
      <c r="DY72" s="945"/>
      <c r="DZ72" s="945"/>
      <c r="EA72" s="945"/>
      <c r="EB72" s="945"/>
      <c r="EC72" s="945"/>
      <c r="ED72" s="945"/>
      <c r="EE72" s="945"/>
      <c r="EF72" s="945"/>
      <c r="EG72" s="945"/>
      <c r="EH72" s="945"/>
      <c r="EI72" s="945"/>
      <c r="EJ72" s="945"/>
      <c r="EK72" s="945"/>
      <c r="EL72" s="945"/>
      <c r="EM72" s="945"/>
      <c r="EN72" s="945"/>
      <c r="EO72" s="945"/>
      <c r="EP72" s="945"/>
      <c r="EQ72" s="945"/>
      <c r="ER72" s="945"/>
      <c r="ES72" s="945"/>
      <c r="ET72" s="945"/>
      <c r="EU72" s="945"/>
      <c r="EV72" s="945"/>
      <c r="EW72" s="945"/>
      <c r="EX72" s="945"/>
      <c r="EY72" s="945"/>
      <c r="EZ72" s="945"/>
      <c r="FA72" s="945"/>
      <c r="FB72" s="945"/>
      <c r="FC72" s="945"/>
      <c r="FD72" s="945"/>
      <c r="FE72" s="945"/>
      <c r="FF72" s="945"/>
      <c r="FG72" s="945"/>
      <c r="FH72" s="945"/>
      <c r="FI72" s="945"/>
      <c r="FJ72" s="945"/>
      <c r="FK72" s="945"/>
      <c r="FL72" s="945"/>
      <c r="FM72" s="945"/>
      <c r="FN72" s="945"/>
      <c r="FO72" s="945"/>
      <c r="FP72" s="945"/>
      <c r="FQ72" s="945"/>
      <c r="FR72" s="945"/>
      <c r="FS72" s="945"/>
      <c r="FT72" s="945"/>
      <c r="FU72" s="945"/>
      <c r="FV72" s="945"/>
      <c r="FW72" s="945"/>
      <c r="FX72" s="945"/>
      <c r="FY72" s="945"/>
      <c r="FZ72" s="945"/>
      <c r="GA72" s="945"/>
      <c r="GB72" s="945"/>
      <c r="GC72" s="945"/>
      <c r="GD72" s="945"/>
      <c r="GE72" s="945"/>
      <c r="GF72" s="945"/>
      <c r="GG72" s="945"/>
      <c r="GH72" s="945"/>
      <c r="GI72" s="945"/>
      <c r="GJ72" s="945"/>
      <c r="GK72" s="945"/>
      <c r="GL72" s="945"/>
      <c r="GM72" s="945"/>
      <c r="GN72" s="945"/>
      <c r="GO72" s="945"/>
      <c r="GP72" s="945"/>
      <c r="GQ72" s="945"/>
      <c r="GR72" s="945"/>
      <c r="GS72" s="945"/>
      <c r="GT72" s="945"/>
      <c r="GU72" s="945"/>
      <c r="GV72" s="945"/>
      <c r="GW72" s="945"/>
      <c r="GX72" s="945"/>
      <c r="GY72" s="945"/>
      <c r="GZ72" s="945"/>
      <c r="HA72" s="945"/>
      <c r="HB72" s="945"/>
      <c r="HC72" s="945"/>
      <c r="HD72" s="945"/>
      <c r="HE72" s="945"/>
      <c r="HF72" s="945"/>
      <c r="HG72" s="945"/>
      <c r="HH72" s="945"/>
      <c r="HI72" s="945"/>
      <c r="HJ72" s="945"/>
      <c r="HK72" s="945"/>
      <c r="HL72" s="945"/>
      <c r="HM72" s="945"/>
      <c r="HN72" s="945"/>
      <c r="HO72" s="945"/>
      <c r="HP72" s="945"/>
      <c r="HQ72" s="945"/>
      <c r="HR72" s="945"/>
      <c r="HS72" s="945"/>
      <c r="HT72" s="945"/>
      <c r="HU72" s="945"/>
      <c r="HV72" s="945"/>
      <c r="HW72" s="945"/>
      <c r="HX72" s="945"/>
      <c r="HY72" s="945"/>
      <c r="HZ72" s="945"/>
      <c r="IA72" s="945"/>
      <c r="IB72" s="945"/>
      <c r="IC72" s="945"/>
      <c r="ID72" s="945"/>
      <c r="IE72" s="945"/>
      <c r="IF72" s="945"/>
      <c r="IG72" s="945"/>
      <c r="IH72" s="945"/>
      <c r="II72" s="945"/>
      <c r="IJ72" s="945"/>
      <c r="IK72" s="945"/>
      <c r="IL72" s="945"/>
      <c r="IM72" s="945"/>
      <c r="IN72" s="945"/>
      <c r="IO72" s="945"/>
      <c r="IP72" s="945"/>
      <c r="IQ72" s="945"/>
      <c r="IR72" s="945"/>
      <c r="IS72" s="945"/>
      <c r="IT72" s="945"/>
      <c r="IU72" s="945"/>
      <c r="IV72" s="945"/>
      <c r="IW72" s="945"/>
      <c r="IX72" s="945"/>
      <c r="IY72" s="945"/>
      <c r="IZ72" s="945"/>
      <c r="JA72" s="945"/>
      <c r="JB72" s="945"/>
      <c r="JC72" s="945"/>
      <c r="JD72" s="945"/>
      <c r="JE72" s="945"/>
      <c r="JF72" s="945"/>
      <c r="JG72" s="945"/>
      <c r="JH72" s="945"/>
      <c r="JI72" s="945"/>
      <c r="JJ72" s="945"/>
      <c r="JK72" s="945"/>
      <c r="JL72" s="945"/>
      <c r="JM72" s="945"/>
      <c r="JN72" s="945"/>
      <c r="JO72" s="945"/>
      <c r="JP72" s="945"/>
      <c r="JQ72" s="945"/>
      <c r="JR72" s="945"/>
      <c r="JS72" s="945"/>
      <c r="JT72" s="945"/>
      <c r="JU72" s="945"/>
      <c r="JV72" s="945"/>
      <c r="JW72" s="945"/>
      <c r="JX72" s="945"/>
      <c r="JY72" s="945"/>
      <c r="JZ72" s="945"/>
      <c r="KA72" s="945"/>
      <c r="KB72" s="945"/>
      <c r="KC72" s="945"/>
      <c r="KD72" s="945"/>
      <c r="KE72" s="945"/>
      <c r="KF72" s="945"/>
      <c r="KG72" s="945"/>
      <c r="KH72" s="945"/>
      <c r="KI72" s="945"/>
      <c r="KJ72" s="945"/>
      <c r="KK72" s="945"/>
      <c r="KL72" s="945"/>
      <c r="KM72" s="945"/>
      <c r="KN72" s="945"/>
      <c r="KO72" s="945"/>
      <c r="KP72" s="945"/>
      <c r="KQ72" s="945"/>
      <c r="KR72" s="945"/>
      <c r="KS72" s="945"/>
      <c r="KT72" s="945"/>
      <c r="KU72" s="945"/>
      <c r="KV72" s="945"/>
      <c r="KW72" s="945"/>
      <c r="KX72" s="945"/>
      <c r="KY72" s="945"/>
      <c r="KZ72" s="945"/>
      <c r="LA72" s="945"/>
      <c r="LB72" s="945"/>
      <c r="LC72" s="945"/>
      <c r="LD72" s="945"/>
      <c r="LE72" s="945"/>
      <c r="LF72" s="945"/>
      <c r="LG72" s="945"/>
      <c r="LH72" s="945"/>
      <c r="LI72" s="945"/>
      <c r="LJ72" s="945"/>
      <c r="LK72" s="945"/>
      <c r="LL72" s="945"/>
      <c r="LM72" s="945"/>
      <c r="LN72" s="945"/>
      <c r="LO72" s="945"/>
      <c r="LP72" s="945"/>
      <c r="LQ72" s="945"/>
      <c r="LR72" s="945"/>
      <c r="LS72" s="945"/>
      <c r="LT72" s="945"/>
      <c r="LU72" s="945"/>
      <c r="LV72" s="945"/>
      <c r="LW72" s="945"/>
      <c r="LX72" s="945"/>
      <c r="LY72" s="945"/>
      <c r="LZ72" s="945"/>
      <c r="MA72" s="945"/>
      <c r="MB72" s="945"/>
      <c r="MC72" s="945"/>
      <c r="MD72" s="945"/>
      <c r="ME72" s="945"/>
      <c r="MF72" s="945"/>
      <c r="MG72" s="945"/>
      <c r="MH72" s="945"/>
      <c r="MI72" s="945"/>
      <c r="MJ72" s="945"/>
      <c r="MK72" s="945"/>
      <c r="ML72" s="945"/>
      <c r="MM72" s="945"/>
      <c r="MN72" s="945"/>
      <c r="MO72" s="945"/>
      <c r="MP72" s="945"/>
      <c r="MQ72" s="945"/>
      <c r="MR72" s="945"/>
      <c r="MS72" s="945"/>
      <c r="MT72" s="945"/>
      <c r="MU72" s="945"/>
      <c r="MV72" s="945"/>
      <c r="MW72" s="945"/>
      <c r="MX72" s="945"/>
      <c r="MY72" s="945"/>
      <c r="MZ72" s="945"/>
      <c r="NA72" s="945"/>
      <c r="NB72" s="945"/>
      <c r="NC72" s="945"/>
      <c r="ND72" s="945"/>
      <c r="NE72" s="945"/>
      <c r="NF72" s="945"/>
      <c r="NG72" s="945"/>
      <c r="NH72" s="945"/>
      <c r="NI72" s="945"/>
      <c r="NJ72" s="945"/>
      <c r="NK72" s="945"/>
      <c r="NL72" s="945"/>
      <c r="NM72" s="945"/>
      <c r="NN72" s="945"/>
      <c r="NO72" s="945"/>
      <c r="NP72" s="945"/>
      <c r="NQ72" s="945"/>
      <c r="NR72" s="945"/>
      <c r="NS72" s="945"/>
      <c r="NT72" s="945"/>
      <c r="NU72" s="945"/>
      <c r="NV72" s="945"/>
      <c r="NW72" s="945"/>
      <c r="NX72" s="945"/>
      <c r="NY72" s="945"/>
      <c r="NZ72" s="945"/>
      <c r="OA72" s="945"/>
      <c r="OB72" s="945"/>
      <c r="OC72" s="945"/>
      <c r="OD72" s="945"/>
      <c r="OE72" s="945"/>
      <c r="OF72" s="945"/>
      <c r="OG72" s="945"/>
      <c r="OH72" s="945"/>
      <c r="OI72" s="945"/>
      <c r="OJ72" s="945"/>
      <c r="OK72" s="945"/>
      <c r="OL72" s="945"/>
      <c r="OM72" s="945"/>
      <c r="ON72" s="945"/>
      <c r="OO72" s="945"/>
      <c r="OP72" s="945"/>
      <c r="OQ72" s="945"/>
      <c r="OR72" s="945"/>
      <c r="OS72" s="945"/>
      <c r="OT72" s="945"/>
      <c r="OU72" s="945"/>
      <c r="OV72" s="945"/>
      <c r="OW72" s="945"/>
      <c r="OX72" s="945"/>
      <c r="OY72" s="945"/>
      <c r="OZ72" s="945"/>
      <c r="PA72" s="945"/>
      <c r="PB72" s="945"/>
      <c r="PC72" s="945"/>
      <c r="PD72" s="945"/>
      <c r="PE72" s="945"/>
      <c r="PF72" s="945"/>
      <c r="PG72" s="945"/>
      <c r="PH72" s="945"/>
      <c r="PI72" s="945"/>
      <c r="PJ72" s="945"/>
      <c r="PK72" s="945"/>
      <c r="PL72" s="945"/>
      <c r="PM72" s="945"/>
      <c r="PN72" s="945"/>
      <c r="PO72" s="945"/>
      <c r="PP72" s="945"/>
      <c r="PQ72" s="945"/>
      <c r="PR72" s="945"/>
      <c r="PS72" s="945"/>
      <c r="PT72" s="945"/>
      <c r="PU72" s="945"/>
      <c r="PV72" s="945"/>
      <c r="PW72" s="945"/>
      <c r="PX72" s="945"/>
      <c r="PY72" s="945"/>
      <c r="PZ72" s="945"/>
      <c r="QA72" s="945"/>
      <c r="QB72" s="945"/>
      <c r="QC72" s="945"/>
      <c r="QD72" s="945"/>
      <c r="QE72" s="945"/>
      <c r="QF72" s="945"/>
      <c r="QG72" s="945"/>
      <c r="QH72" s="945"/>
      <c r="QI72" s="945"/>
      <c r="QJ72" s="945"/>
      <c r="QK72" s="945"/>
      <c r="QL72" s="945"/>
      <c r="QM72" s="945"/>
      <c r="QN72" s="945"/>
      <c r="QO72" s="945"/>
      <c r="QP72" s="945"/>
      <c r="QQ72" s="945"/>
      <c r="QR72" s="945"/>
      <c r="QS72" s="945"/>
      <c r="QT72" s="945"/>
      <c r="QU72" s="945"/>
      <c r="QV72" s="945"/>
      <c r="QW72" s="945"/>
      <c r="QX72" s="945"/>
      <c r="QY72" s="945"/>
      <c r="QZ72" s="945"/>
      <c r="RA72" s="945"/>
      <c r="RB72" s="945"/>
      <c r="RC72" s="945"/>
      <c r="RD72" s="945"/>
      <c r="RE72" s="945"/>
      <c r="RF72" s="945"/>
      <c r="RG72" s="945"/>
      <c r="RH72" s="945"/>
      <c r="RI72" s="945"/>
      <c r="RJ72" s="945"/>
      <c r="RK72" s="945"/>
      <c r="RL72" s="945"/>
      <c r="RM72" s="945"/>
      <c r="RN72" s="945"/>
      <c r="RO72" s="945"/>
      <c r="RP72" s="945"/>
      <c r="RQ72" s="945"/>
      <c r="RR72" s="945"/>
      <c r="RS72" s="945"/>
      <c r="RT72" s="945"/>
      <c r="RU72" s="945"/>
      <c r="RV72" s="945"/>
      <c r="RW72" s="945"/>
      <c r="RX72" s="945"/>
    </row>
    <row r="73" spans="1:492" s="165" customFormat="1">
      <c r="A73" s="945"/>
      <c r="B73" s="945"/>
      <c r="C73" s="945"/>
      <c r="D73" s="945"/>
      <c r="E73" s="945"/>
      <c r="F73" s="945"/>
      <c r="G73" s="945"/>
      <c r="H73" s="945"/>
      <c r="I73" s="945"/>
      <c r="J73" s="945"/>
      <c r="K73" s="945"/>
      <c r="L73" s="945"/>
      <c r="M73" s="945"/>
      <c r="N73" s="945"/>
      <c r="O73" s="945"/>
      <c r="P73" s="945"/>
      <c r="Q73" s="945"/>
      <c r="R73" s="945"/>
      <c r="S73" s="945"/>
      <c r="T73" s="945"/>
      <c r="U73" s="945"/>
      <c r="V73" s="945"/>
      <c r="W73" s="945"/>
      <c r="X73" s="945"/>
      <c r="Y73" s="945"/>
      <c r="Z73" s="945"/>
      <c r="AA73" s="945"/>
      <c r="AB73" s="945"/>
      <c r="AC73" s="945"/>
      <c r="AD73" s="945"/>
      <c r="AE73" s="945"/>
      <c r="AF73" s="945"/>
      <c r="AG73" s="945"/>
      <c r="AH73" s="945"/>
      <c r="AI73" s="945"/>
      <c r="AJ73" s="945"/>
      <c r="AK73" s="945"/>
      <c r="AL73" s="945"/>
      <c r="AM73" s="948"/>
      <c r="AN73" s="948"/>
      <c r="AO73" s="948"/>
      <c r="AP73" s="948"/>
      <c r="AQ73" s="948"/>
      <c r="AR73" s="948"/>
      <c r="AS73" s="948"/>
      <c r="AT73" s="948"/>
      <c r="AU73" s="948"/>
      <c r="AV73" s="948"/>
      <c r="AW73" s="948"/>
      <c r="AX73" s="948"/>
      <c r="AY73" s="948"/>
      <c r="AZ73" s="948"/>
      <c r="BA73" s="948"/>
      <c r="BB73" s="948"/>
      <c r="BC73" s="948"/>
      <c r="BD73" s="948"/>
      <c r="BE73" s="948"/>
      <c r="BF73" s="948"/>
      <c r="BG73" s="948"/>
      <c r="BH73" s="948"/>
      <c r="BI73" s="948"/>
      <c r="BJ73" s="948"/>
      <c r="BK73" s="948"/>
      <c r="BL73" s="948"/>
      <c r="BM73" s="948"/>
      <c r="BN73" s="948"/>
      <c r="BO73" s="948"/>
      <c r="BP73" s="948"/>
      <c r="BQ73" s="948"/>
      <c r="BR73" s="948"/>
      <c r="BS73" s="948"/>
      <c r="BT73" s="948"/>
      <c r="BU73" s="948"/>
      <c r="BV73" s="948"/>
      <c r="BW73" s="948"/>
      <c r="BX73" s="948"/>
      <c r="BY73" s="948"/>
      <c r="BZ73" s="948"/>
      <c r="CA73" s="945"/>
      <c r="CB73" s="945"/>
      <c r="CC73" s="945"/>
      <c r="CD73" s="945"/>
      <c r="CE73" s="945"/>
      <c r="CF73" s="945"/>
      <c r="CG73" s="945"/>
      <c r="CH73" s="945"/>
      <c r="CI73" s="945"/>
      <c r="CJ73" s="945"/>
      <c r="CK73" s="945"/>
      <c r="CL73" s="945"/>
      <c r="CM73" s="945"/>
      <c r="CN73" s="945"/>
      <c r="CO73" s="945"/>
      <c r="CP73" s="945"/>
      <c r="CQ73" s="945"/>
      <c r="CR73" s="945"/>
      <c r="CS73" s="945"/>
      <c r="CT73" s="945"/>
      <c r="CU73" s="945"/>
      <c r="CV73" s="945"/>
      <c r="CW73" s="945"/>
      <c r="CX73" s="945"/>
      <c r="CY73" s="945"/>
      <c r="CZ73" s="945"/>
      <c r="DA73" s="945"/>
      <c r="DB73" s="945"/>
      <c r="DC73" s="945"/>
      <c r="DD73" s="945"/>
      <c r="DE73" s="945"/>
      <c r="DF73" s="945"/>
      <c r="DG73" s="945"/>
      <c r="DH73" s="945"/>
      <c r="DI73" s="945"/>
      <c r="DJ73" s="945"/>
      <c r="DK73" s="945"/>
      <c r="DL73" s="945"/>
      <c r="DM73" s="945"/>
      <c r="DN73" s="945"/>
      <c r="DO73" s="945"/>
      <c r="DP73" s="945"/>
      <c r="DQ73" s="945"/>
      <c r="DR73" s="945"/>
      <c r="DS73" s="945"/>
      <c r="DT73" s="945"/>
      <c r="DU73" s="945"/>
      <c r="DV73" s="945"/>
      <c r="DW73" s="945"/>
      <c r="DX73" s="945"/>
      <c r="DY73" s="945"/>
      <c r="DZ73" s="945"/>
      <c r="EA73" s="945"/>
      <c r="EB73" s="945"/>
      <c r="EC73" s="945"/>
      <c r="ED73" s="945"/>
      <c r="EE73" s="945"/>
      <c r="EF73" s="945"/>
      <c r="EG73" s="945"/>
      <c r="EH73" s="945"/>
      <c r="EI73" s="945"/>
      <c r="EJ73" s="945"/>
      <c r="EK73" s="945"/>
      <c r="EL73" s="945"/>
      <c r="EM73" s="945"/>
      <c r="EN73" s="945"/>
      <c r="EO73" s="945"/>
      <c r="EP73" s="945"/>
      <c r="EQ73" s="945"/>
      <c r="ER73" s="945"/>
      <c r="ES73" s="945"/>
      <c r="ET73" s="945"/>
      <c r="EU73" s="945"/>
      <c r="EV73" s="945"/>
      <c r="EW73" s="945"/>
      <c r="EX73" s="945"/>
      <c r="EY73" s="945"/>
      <c r="EZ73" s="945"/>
      <c r="FA73" s="945"/>
      <c r="FB73" s="945"/>
      <c r="FC73" s="945"/>
      <c r="FD73" s="945"/>
      <c r="FE73" s="945"/>
      <c r="FF73" s="945"/>
      <c r="FG73" s="945"/>
      <c r="FH73" s="945"/>
      <c r="FI73" s="945"/>
      <c r="FJ73" s="945"/>
      <c r="FK73" s="945"/>
      <c r="FL73" s="945"/>
      <c r="FM73" s="945"/>
      <c r="FN73" s="945"/>
      <c r="FO73" s="945"/>
      <c r="FP73" s="945"/>
      <c r="FQ73" s="945"/>
      <c r="FR73" s="945"/>
      <c r="FS73" s="945"/>
      <c r="FT73" s="945"/>
      <c r="FU73" s="945"/>
      <c r="FV73" s="945"/>
      <c r="FW73" s="945"/>
      <c r="FX73" s="945"/>
      <c r="FY73" s="945"/>
      <c r="FZ73" s="945"/>
      <c r="GA73" s="945"/>
      <c r="GB73" s="945"/>
      <c r="GC73" s="945"/>
      <c r="GD73" s="945"/>
      <c r="GE73" s="945"/>
      <c r="GF73" s="945"/>
      <c r="GG73" s="945"/>
      <c r="GH73" s="945"/>
      <c r="GI73" s="945"/>
      <c r="GJ73" s="945"/>
      <c r="GK73" s="945"/>
      <c r="GL73" s="945"/>
      <c r="GM73" s="945"/>
      <c r="GN73" s="945"/>
      <c r="GO73" s="945"/>
      <c r="GP73" s="945"/>
      <c r="GQ73" s="945"/>
      <c r="GR73" s="945"/>
      <c r="GS73" s="945"/>
      <c r="GT73" s="945"/>
      <c r="GU73" s="945"/>
      <c r="GV73" s="945"/>
      <c r="GW73" s="945"/>
      <c r="GX73" s="945"/>
      <c r="GY73" s="945"/>
      <c r="GZ73" s="945"/>
      <c r="HA73" s="945"/>
      <c r="HB73" s="945"/>
      <c r="HC73" s="945"/>
      <c r="HD73" s="945"/>
      <c r="HE73" s="945"/>
      <c r="HF73" s="945"/>
      <c r="HG73" s="945"/>
      <c r="HH73" s="945"/>
      <c r="HI73" s="945"/>
      <c r="HJ73" s="945"/>
      <c r="HK73" s="945"/>
      <c r="HL73" s="945"/>
      <c r="HM73" s="945"/>
      <c r="HN73" s="945"/>
      <c r="HO73" s="945"/>
      <c r="HP73" s="945"/>
      <c r="HQ73" s="945"/>
      <c r="HR73" s="945"/>
      <c r="HS73" s="945"/>
      <c r="HT73" s="945"/>
      <c r="HU73" s="945"/>
      <c r="HV73" s="945"/>
      <c r="HW73" s="945"/>
      <c r="HX73" s="945"/>
      <c r="HY73" s="945"/>
      <c r="HZ73" s="945"/>
      <c r="IA73" s="945"/>
      <c r="IB73" s="945"/>
      <c r="IC73" s="945"/>
      <c r="ID73" s="945"/>
      <c r="IE73" s="945"/>
      <c r="IF73" s="945"/>
      <c r="IG73" s="945"/>
      <c r="IH73" s="945"/>
      <c r="II73" s="945"/>
      <c r="IJ73" s="945"/>
      <c r="IK73" s="945"/>
      <c r="IL73" s="945"/>
      <c r="IM73" s="945"/>
      <c r="IN73" s="945"/>
      <c r="IO73" s="945"/>
      <c r="IP73" s="945"/>
      <c r="IQ73" s="945"/>
      <c r="IR73" s="945"/>
      <c r="IS73" s="945"/>
      <c r="IT73" s="945"/>
      <c r="IU73" s="945"/>
      <c r="IV73" s="945"/>
      <c r="IW73" s="945"/>
      <c r="IX73" s="945"/>
      <c r="IY73" s="945"/>
      <c r="IZ73" s="945"/>
      <c r="JA73" s="945"/>
      <c r="JB73" s="945"/>
      <c r="JC73" s="945"/>
      <c r="JD73" s="945"/>
      <c r="JE73" s="945"/>
      <c r="JF73" s="945"/>
      <c r="JG73" s="945"/>
      <c r="JH73" s="945"/>
      <c r="JI73" s="945"/>
      <c r="JJ73" s="945"/>
      <c r="JK73" s="945"/>
      <c r="JL73" s="945"/>
      <c r="JM73" s="945"/>
      <c r="JN73" s="945"/>
      <c r="JO73" s="945"/>
      <c r="JP73" s="945"/>
      <c r="JQ73" s="945"/>
      <c r="JR73" s="945"/>
      <c r="JS73" s="945"/>
      <c r="JT73" s="945"/>
      <c r="JU73" s="945"/>
      <c r="JV73" s="945"/>
      <c r="JW73" s="945"/>
      <c r="JX73" s="945"/>
      <c r="JY73" s="945"/>
      <c r="JZ73" s="945"/>
      <c r="KA73" s="945"/>
      <c r="KB73" s="945"/>
      <c r="KC73" s="945"/>
      <c r="KD73" s="945"/>
      <c r="KE73" s="945"/>
      <c r="KF73" s="945"/>
      <c r="KG73" s="945"/>
      <c r="KH73" s="945"/>
      <c r="KI73" s="945"/>
      <c r="KJ73" s="945"/>
      <c r="KK73" s="945"/>
      <c r="KL73" s="945"/>
      <c r="KM73" s="945"/>
      <c r="KN73" s="945"/>
      <c r="KO73" s="945"/>
      <c r="KP73" s="945"/>
      <c r="KQ73" s="945"/>
      <c r="KR73" s="945"/>
      <c r="KS73" s="945"/>
      <c r="KT73" s="945"/>
      <c r="KU73" s="945"/>
      <c r="KV73" s="945"/>
      <c r="KW73" s="945"/>
      <c r="KX73" s="945"/>
      <c r="KY73" s="945"/>
      <c r="KZ73" s="945"/>
      <c r="LA73" s="945"/>
      <c r="LB73" s="945"/>
      <c r="LC73" s="945"/>
      <c r="LD73" s="945"/>
      <c r="LE73" s="945"/>
      <c r="LF73" s="945"/>
      <c r="LG73" s="945"/>
      <c r="LH73" s="945"/>
      <c r="LI73" s="945"/>
      <c r="LJ73" s="945"/>
      <c r="LK73" s="945"/>
      <c r="LL73" s="945"/>
      <c r="LM73" s="945"/>
      <c r="LN73" s="945"/>
      <c r="LO73" s="945"/>
      <c r="LP73" s="945"/>
      <c r="LQ73" s="945"/>
      <c r="LR73" s="945"/>
      <c r="LS73" s="945"/>
      <c r="LT73" s="945"/>
      <c r="LU73" s="945"/>
      <c r="LV73" s="945"/>
      <c r="LW73" s="945"/>
      <c r="LX73" s="945"/>
      <c r="LY73" s="945"/>
      <c r="LZ73" s="945"/>
      <c r="MA73" s="945"/>
      <c r="MB73" s="945"/>
      <c r="MC73" s="945"/>
      <c r="MD73" s="945"/>
      <c r="ME73" s="945"/>
      <c r="MF73" s="945"/>
      <c r="MG73" s="945"/>
      <c r="MH73" s="945"/>
      <c r="MI73" s="945"/>
      <c r="MJ73" s="945"/>
      <c r="MK73" s="945"/>
      <c r="ML73" s="945"/>
      <c r="MM73" s="945"/>
      <c r="MN73" s="945"/>
      <c r="MO73" s="945"/>
      <c r="MP73" s="945"/>
      <c r="MQ73" s="945"/>
      <c r="MR73" s="945"/>
      <c r="MS73" s="945"/>
      <c r="MT73" s="945"/>
      <c r="MU73" s="945"/>
      <c r="MV73" s="945"/>
      <c r="MW73" s="945"/>
      <c r="MX73" s="945"/>
      <c r="MY73" s="945"/>
      <c r="MZ73" s="945"/>
      <c r="NA73" s="945"/>
      <c r="NB73" s="945"/>
      <c r="NC73" s="945"/>
      <c r="ND73" s="945"/>
      <c r="NE73" s="945"/>
      <c r="NF73" s="945"/>
      <c r="NG73" s="945"/>
      <c r="NH73" s="945"/>
      <c r="NI73" s="945"/>
      <c r="NJ73" s="945"/>
      <c r="NK73" s="945"/>
      <c r="NL73" s="945"/>
      <c r="NM73" s="945"/>
      <c r="NN73" s="945"/>
      <c r="NO73" s="945"/>
      <c r="NP73" s="945"/>
      <c r="NQ73" s="945"/>
      <c r="NR73" s="945"/>
      <c r="NS73" s="945"/>
      <c r="NT73" s="945"/>
      <c r="NU73" s="945"/>
      <c r="NV73" s="945"/>
      <c r="NW73" s="945"/>
      <c r="NX73" s="945"/>
      <c r="NY73" s="945"/>
      <c r="NZ73" s="945"/>
      <c r="OA73" s="945"/>
      <c r="OB73" s="945"/>
      <c r="OC73" s="945"/>
      <c r="OD73" s="945"/>
      <c r="OE73" s="945"/>
      <c r="OF73" s="945"/>
      <c r="OG73" s="945"/>
      <c r="OH73" s="945"/>
      <c r="OI73" s="945"/>
      <c r="OJ73" s="945"/>
      <c r="OK73" s="945"/>
      <c r="OL73" s="945"/>
      <c r="OM73" s="945"/>
      <c r="ON73" s="945"/>
      <c r="OO73" s="945"/>
      <c r="OP73" s="945"/>
      <c r="OQ73" s="945"/>
      <c r="OR73" s="945"/>
      <c r="OS73" s="945"/>
      <c r="OT73" s="945"/>
      <c r="OU73" s="945"/>
      <c r="OV73" s="945"/>
      <c r="OW73" s="945"/>
      <c r="OX73" s="945"/>
      <c r="OY73" s="945"/>
      <c r="OZ73" s="945"/>
      <c r="PA73" s="945"/>
      <c r="PB73" s="945"/>
      <c r="PC73" s="945"/>
      <c r="PD73" s="945"/>
      <c r="PE73" s="945"/>
      <c r="PF73" s="945"/>
      <c r="PG73" s="945"/>
      <c r="PH73" s="945"/>
      <c r="PI73" s="945"/>
      <c r="PJ73" s="945"/>
      <c r="PK73" s="945"/>
      <c r="PL73" s="945"/>
      <c r="PM73" s="945"/>
      <c r="PN73" s="945"/>
      <c r="PO73" s="945"/>
      <c r="PP73" s="945"/>
      <c r="PQ73" s="945"/>
      <c r="PR73" s="945"/>
      <c r="PS73" s="945"/>
      <c r="PT73" s="945"/>
      <c r="PU73" s="945"/>
      <c r="PV73" s="945"/>
      <c r="PW73" s="945"/>
      <c r="PX73" s="945"/>
      <c r="PY73" s="945"/>
      <c r="PZ73" s="945"/>
      <c r="QA73" s="945"/>
      <c r="QB73" s="945"/>
      <c r="QC73" s="945"/>
      <c r="QD73" s="945"/>
      <c r="QE73" s="945"/>
      <c r="QF73" s="945"/>
      <c r="QG73" s="945"/>
      <c r="QH73" s="945"/>
      <c r="QI73" s="945"/>
      <c r="QJ73" s="945"/>
      <c r="QK73" s="945"/>
      <c r="QL73" s="945"/>
      <c r="QM73" s="945"/>
      <c r="QN73" s="945"/>
      <c r="QO73" s="945"/>
      <c r="QP73" s="945"/>
      <c r="QQ73" s="945"/>
      <c r="QR73" s="945"/>
      <c r="QS73" s="945"/>
      <c r="QT73" s="945"/>
      <c r="QU73" s="945"/>
      <c r="QV73" s="945"/>
      <c r="QW73" s="945"/>
      <c r="QX73" s="945"/>
      <c r="QY73" s="945"/>
      <c r="QZ73" s="945"/>
      <c r="RA73" s="945"/>
      <c r="RB73" s="945"/>
      <c r="RC73" s="945"/>
      <c r="RD73" s="945"/>
      <c r="RE73" s="945"/>
      <c r="RF73" s="945"/>
      <c r="RG73" s="945"/>
      <c r="RH73" s="945"/>
      <c r="RI73" s="945"/>
      <c r="RJ73" s="945"/>
      <c r="RK73" s="945"/>
      <c r="RL73" s="945"/>
      <c r="RM73" s="945"/>
      <c r="RN73" s="945"/>
      <c r="RO73" s="945"/>
      <c r="RP73" s="945"/>
      <c r="RQ73" s="945"/>
      <c r="RR73" s="945"/>
      <c r="RS73" s="945"/>
      <c r="RT73" s="945"/>
      <c r="RU73" s="945"/>
      <c r="RV73" s="945"/>
      <c r="RW73" s="945"/>
      <c r="RX73" s="945"/>
    </row>
    <row r="74" spans="1:492" s="165" customFormat="1">
      <c r="A74" s="945"/>
      <c r="B74" s="945"/>
      <c r="C74" s="945"/>
      <c r="D74" s="945"/>
      <c r="E74" s="945"/>
      <c r="F74" s="945"/>
      <c r="G74" s="945"/>
      <c r="H74" s="945"/>
      <c r="I74" s="945"/>
      <c r="J74" s="945"/>
      <c r="K74" s="945"/>
      <c r="L74" s="945"/>
      <c r="M74" s="945"/>
      <c r="N74" s="945"/>
      <c r="O74" s="945"/>
      <c r="P74" s="945"/>
      <c r="Q74" s="945"/>
      <c r="R74" s="945"/>
      <c r="S74" s="945"/>
      <c r="T74" s="945"/>
      <c r="U74" s="945"/>
      <c r="V74" s="945"/>
      <c r="W74" s="945"/>
      <c r="X74" s="945"/>
      <c r="Y74" s="945"/>
      <c r="Z74" s="945"/>
      <c r="AA74" s="945"/>
      <c r="AB74" s="945"/>
      <c r="AC74" s="945"/>
      <c r="AD74" s="945"/>
      <c r="AE74" s="945"/>
      <c r="AF74" s="945"/>
      <c r="AG74" s="945"/>
      <c r="AH74" s="945"/>
      <c r="AI74" s="945"/>
      <c r="AJ74" s="945"/>
      <c r="AK74" s="945"/>
      <c r="AL74" s="945"/>
      <c r="AM74" s="948"/>
      <c r="AN74" s="948"/>
      <c r="AO74" s="948"/>
      <c r="AP74" s="948"/>
      <c r="AQ74" s="948"/>
      <c r="AR74" s="948"/>
      <c r="AS74" s="948"/>
      <c r="AT74" s="948"/>
      <c r="AU74" s="948"/>
      <c r="AV74" s="948"/>
      <c r="AW74" s="948"/>
      <c r="AX74" s="948"/>
      <c r="AY74" s="948"/>
      <c r="AZ74" s="948"/>
      <c r="BA74" s="948"/>
      <c r="BB74" s="948"/>
      <c r="BC74" s="948"/>
      <c r="BD74" s="948"/>
      <c r="BE74" s="948"/>
      <c r="BF74" s="948"/>
      <c r="BG74" s="948"/>
      <c r="BH74" s="948"/>
      <c r="BI74" s="948"/>
      <c r="BJ74" s="948"/>
      <c r="BK74" s="948"/>
      <c r="BL74" s="948"/>
      <c r="BM74" s="948"/>
      <c r="BN74" s="948"/>
      <c r="BO74" s="948"/>
      <c r="BP74" s="948"/>
      <c r="BQ74" s="948"/>
      <c r="BR74" s="948"/>
      <c r="BS74" s="948"/>
      <c r="BT74" s="948"/>
      <c r="BU74" s="948"/>
      <c r="BV74" s="948"/>
      <c r="BW74" s="948"/>
      <c r="BX74" s="948"/>
      <c r="BY74" s="948"/>
      <c r="BZ74" s="948"/>
      <c r="CA74" s="945"/>
      <c r="CB74" s="945"/>
      <c r="CC74" s="945"/>
      <c r="CD74" s="945"/>
      <c r="CE74" s="945"/>
      <c r="CF74" s="945"/>
      <c r="CG74" s="945"/>
      <c r="CH74" s="945"/>
      <c r="CI74" s="945"/>
      <c r="CJ74" s="945"/>
      <c r="CK74" s="945"/>
      <c r="CL74" s="945"/>
      <c r="CM74" s="945"/>
      <c r="CN74" s="945"/>
      <c r="CO74" s="945"/>
      <c r="CP74" s="945"/>
      <c r="CQ74" s="945"/>
      <c r="CR74" s="945"/>
      <c r="CS74" s="945"/>
      <c r="CT74" s="945"/>
      <c r="CU74" s="945"/>
      <c r="CV74" s="945"/>
      <c r="CW74" s="945"/>
      <c r="CX74" s="945"/>
      <c r="CY74" s="945"/>
      <c r="CZ74" s="945"/>
      <c r="DA74" s="945"/>
      <c r="DB74" s="945"/>
      <c r="DC74" s="945"/>
      <c r="DD74" s="945"/>
      <c r="DE74" s="945"/>
      <c r="DF74" s="945"/>
      <c r="DG74" s="945"/>
      <c r="DH74" s="945"/>
      <c r="DI74" s="945"/>
      <c r="DJ74" s="945"/>
      <c r="DK74" s="945"/>
      <c r="DL74" s="945"/>
      <c r="DM74" s="945"/>
      <c r="DN74" s="945"/>
      <c r="DO74" s="945"/>
      <c r="DP74" s="945"/>
      <c r="DQ74" s="945"/>
      <c r="DR74" s="945"/>
      <c r="DS74" s="945"/>
      <c r="DT74" s="945"/>
      <c r="DU74" s="945"/>
      <c r="DV74" s="945"/>
      <c r="DW74" s="945"/>
      <c r="DX74" s="945"/>
      <c r="DY74" s="945"/>
      <c r="DZ74" s="945"/>
      <c r="EA74" s="945"/>
      <c r="EB74" s="945"/>
      <c r="EC74" s="945"/>
      <c r="ED74" s="945"/>
      <c r="EE74" s="945"/>
      <c r="EF74" s="945"/>
      <c r="EG74" s="945"/>
      <c r="EH74" s="945"/>
      <c r="EI74" s="945"/>
      <c r="EJ74" s="945"/>
      <c r="EK74" s="945"/>
      <c r="EL74" s="945"/>
      <c r="EM74" s="945"/>
      <c r="EN74" s="945"/>
      <c r="EO74" s="945"/>
      <c r="EP74" s="945"/>
      <c r="EQ74" s="945"/>
      <c r="ER74" s="945"/>
      <c r="ES74" s="945"/>
      <c r="ET74" s="945"/>
      <c r="EU74" s="945"/>
      <c r="EV74" s="945"/>
      <c r="EW74" s="945"/>
      <c r="EX74" s="945"/>
      <c r="EY74" s="945"/>
      <c r="EZ74" s="945"/>
      <c r="FA74" s="945"/>
      <c r="FB74" s="945"/>
      <c r="FC74" s="945"/>
      <c r="FD74" s="945"/>
      <c r="FE74" s="945"/>
      <c r="FF74" s="945"/>
      <c r="FG74" s="945"/>
      <c r="FH74" s="945"/>
      <c r="FI74" s="945"/>
      <c r="FJ74" s="945"/>
      <c r="FK74" s="945"/>
      <c r="FL74" s="945"/>
      <c r="FM74" s="945"/>
      <c r="FN74" s="945"/>
      <c r="FO74" s="945"/>
      <c r="FP74" s="945"/>
      <c r="FQ74" s="945"/>
      <c r="FR74" s="945"/>
      <c r="FS74" s="945"/>
      <c r="FT74" s="945"/>
      <c r="FU74" s="945"/>
      <c r="FV74" s="945"/>
      <c r="FW74" s="945"/>
      <c r="FX74" s="945"/>
      <c r="FY74" s="945"/>
      <c r="FZ74" s="945"/>
      <c r="GA74" s="945"/>
      <c r="GB74" s="945"/>
      <c r="GC74" s="945"/>
      <c r="GD74" s="945"/>
      <c r="GE74" s="945"/>
      <c r="GF74" s="945"/>
      <c r="GG74" s="945"/>
      <c r="GH74" s="945"/>
      <c r="GI74" s="945"/>
      <c r="GJ74" s="945"/>
      <c r="GK74" s="945"/>
      <c r="GL74" s="945"/>
      <c r="GM74" s="945"/>
      <c r="GN74" s="945"/>
      <c r="GO74" s="945"/>
      <c r="GP74" s="945"/>
      <c r="GQ74" s="945"/>
      <c r="GR74" s="945"/>
      <c r="GS74" s="945"/>
      <c r="GT74" s="945"/>
      <c r="GU74" s="945"/>
      <c r="GV74" s="945"/>
      <c r="GW74" s="945"/>
      <c r="GX74" s="945"/>
      <c r="GY74" s="945"/>
      <c r="GZ74" s="945"/>
      <c r="HA74" s="945"/>
      <c r="HB74" s="945"/>
      <c r="HC74" s="945"/>
      <c r="HD74" s="945"/>
      <c r="HE74" s="945"/>
      <c r="HF74" s="945"/>
      <c r="HG74" s="945"/>
      <c r="HH74" s="945"/>
      <c r="HI74" s="945"/>
      <c r="HJ74" s="945"/>
      <c r="HK74" s="945"/>
      <c r="HL74" s="945"/>
      <c r="HM74" s="945"/>
      <c r="HN74" s="945"/>
      <c r="HO74" s="945"/>
      <c r="HP74" s="945"/>
      <c r="HQ74" s="945"/>
      <c r="HR74" s="945"/>
      <c r="HS74" s="945"/>
      <c r="HT74" s="945"/>
      <c r="HU74" s="945"/>
      <c r="HV74" s="945"/>
      <c r="HW74" s="945"/>
      <c r="HX74" s="945"/>
      <c r="HY74" s="945"/>
      <c r="HZ74" s="945"/>
      <c r="IA74" s="945"/>
      <c r="IB74" s="945"/>
      <c r="IC74" s="945"/>
      <c r="ID74" s="945"/>
      <c r="IE74" s="945"/>
      <c r="IF74" s="945"/>
      <c r="IG74" s="945"/>
      <c r="IH74" s="945"/>
      <c r="II74" s="945"/>
      <c r="IJ74" s="945"/>
      <c r="IK74" s="945"/>
      <c r="IL74" s="945"/>
      <c r="IM74" s="945"/>
      <c r="IN74" s="945"/>
      <c r="IO74" s="945"/>
      <c r="IP74" s="945"/>
      <c r="IQ74" s="945"/>
      <c r="IR74" s="945"/>
      <c r="IS74" s="945"/>
      <c r="IT74" s="945"/>
      <c r="IU74" s="945"/>
      <c r="IV74" s="945"/>
      <c r="IW74" s="945"/>
      <c r="IX74" s="945"/>
      <c r="IY74" s="945"/>
      <c r="IZ74" s="945"/>
      <c r="JA74" s="945"/>
      <c r="JB74" s="945"/>
      <c r="JC74" s="945"/>
      <c r="JD74" s="945"/>
      <c r="JE74" s="945"/>
      <c r="JF74" s="945"/>
      <c r="JG74" s="945"/>
      <c r="JH74" s="945"/>
      <c r="JI74" s="945"/>
      <c r="JJ74" s="945"/>
      <c r="JK74" s="945"/>
      <c r="JL74" s="945"/>
      <c r="JM74" s="945"/>
      <c r="JN74" s="945"/>
      <c r="JO74" s="945"/>
      <c r="JP74" s="945"/>
      <c r="JQ74" s="945"/>
      <c r="JR74" s="945"/>
      <c r="JS74" s="945"/>
      <c r="JT74" s="945"/>
      <c r="JU74" s="945"/>
      <c r="JV74" s="945"/>
      <c r="JW74" s="945"/>
      <c r="JX74" s="945"/>
      <c r="JY74" s="945"/>
      <c r="JZ74" s="945"/>
      <c r="KA74" s="945"/>
      <c r="KB74" s="945"/>
      <c r="KC74" s="945"/>
      <c r="KD74" s="945"/>
      <c r="KE74" s="945"/>
      <c r="KF74" s="945"/>
      <c r="KG74" s="945"/>
      <c r="KH74" s="945"/>
      <c r="KI74" s="945"/>
      <c r="KJ74" s="945"/>
      <c r="KK74" s="945"/>
      <c r="KL74" s="945"/>
      <c r="KM74" s="945"/>
      <c r="KN74" s="945"/>
      <c r="KO74" s="945"/>
      <c r="KP74" s="945"/>
      <c r="KQ74" s="945"/>
      <c r="KR74" s="945"/>
      <c r="KS74" s="945"/>
      <c r="KT74" s="945"/>
      <c r="KU74" s="945"/>
      <c r="KV74" s="945"/>
      <c r="KW74" s="945"/>
      <c r="KX74" s="945"/>
      <c r="KY74" s="945"/>
      <c r="KZ74" s="945"/>
      <c r="LA74" s="945"/>
      <c r="LB74" s="945"/>
      <c r="LC74" s="945"/>
      <c r="LD74" s="945"/>
      <c r="LE74" s="945"/>
      <c r="LF74" s="945"/>
      <c r="LG74" s="945"/>
      <c r="LH74" s="945"/>
      <c r="LI74" s="945"/>
      <c r="LJ74" s="945"/>
      <c r="LK74" s="945"/>
      <c r="LL74" s="945"/>
      <c r="LM74" s="945"/>
      <c r="LN74" s="945"/>
      <c r="LO74" s="945"/>
      <c r="LP74" s="945"/>
      <c r="LQ74" s="945"/>
      <c r="LR74" s="945"/>
      <c r="LS74" s="945"/>
      <c r="LT74" s="945"/>
      <c r="LU74" s="945"/>
      <c r="LV74" s="945"/>
      <c r="LW74" s="945"/>
      <c r="LX74" s="945"/>
      <c r="LY74" s="945"/>
      <c r="LZ74" s="945"/>
      <c r="MA74" s="945"/>
      <c r="MB74" s="945"/>
      <c r="MC74" s="945"/>
      <c r="MD74" s="945"/>
      <c r="ME74" s="945"/>
      <c r="MF74" s="945"/>
      <c r="MG74" s="945"/>
      <c r="MH74" s="945"/>
      <c r="MI74" s="945"/>
      <c r="MJ74" s="945"/>
      <c r="MK74" s="945"/>
      <c r="ML74" s="945"/>
      <c r="MM74" s="945"/>
      <c r="MN74" s="945"/>
      <c r="MO74" s="945"/>
      <c r="MP74" s="945"/>
      <c r="MQ74" s="945"/>
      <c r="MR74" s="945"/>
      <c r="MS74" s="945"/>
      <c r="MT74" s="945"/>
      <c r="MU74" s="945"/>
      <c r="MV74" s="945"/>
      <c r="MW74" s="945"/>
      <c r="MX74" s="945"/>
      <c r="MY74" s="945"/>
      <c r="MZ74" s="945"/>
      <c r="NA74" s="945"/>
      <c r="NB74" s="945"/>
      <c r="NC74" s="945"/>
      <c r="ND74" s="945"/>
      <c r="NE74" s="945"/>
      <c r="NF74" s="945"/>
      <c r="NG74" s="945"/>
      <c r="NH74" s="945"/>
      <c r="NI74" s="945"/>
      <c r="NJ74" s="945"/>
      <c r="NK74" s="945"/>
      <c r="NL74" s="945"/>
      <c r="NM74" s="945"/>
      <c r="NN74" s="945"/>
      <c r="NO74" s="945"/>
      <c r="NP74" s="945"/>
      <c r="NQ74" s="945"/>
      <c r="NR74" s="945"/>
      <c r="NS74" s="945"/>
      <c r="NT74" s="945"/>
      <c r="NU74" s="945"/>
      <c r="NV74" s="945"/>
      <c r="NW74" s="945"/>
      <c r="NX74" s="945"/>
      <c r="NY74" s="945"/>
      <c r="NZ74" s="945"/>
      <c r="OA74" s="945"/>
      <c r="OB74" s="945"/>
      <c r="OC74" s="945"/>
      <c r="OD74" s="945"/>
      <c r="OE74" s="945"/>
      <c r="OF74" s="945"/>
      <c r="OG74" s="945"/>
      <c r="OH74" s="945"/>
      <c r="OI74" s="945"/>
      <c r="OJ74" s="945"/>
      <c r="OK74" s="945"/>
      <c r="OL74" s="945"/>
      <c r="OM74" s="945"/>
      <c r="ON74" s="945"/>
      <c r="OO74" s="945"/>
      <c r="OP74" s="945"/>
      <c r="OQ74" s="945"/>
      <c r="OR74" s="945"/>
      <c r="OS74" s="945"/>
      <c r="OT74" s="945"/>
      <c r="OU74" s="945"/>
      <c r="OV74" s="945"/>
      <c r="OW74" s="945"/>
      <c r="OX74" s="945"/>
      <c r="OY74" s="945"/>
      <c r="OZ74" s="945"/>
      <c r="PA74" s="945"/>
      <c r="PB74" s="945"/>
      <c r="PC74" s="945"/>
      <c r="PD74" s="945"/>
      <c r="PE74" s="945"/>
      <c r="PF74" s="945"/>
      <c r="PG74" s="945"/>
      <c r="PH74" s="945"/>
      <c r="PI74" s="945"/>
      <c r="PJ74" s="945"/>
      <c r="PK74" s="945"/>
      <c r="PL74" s="945"/>
      <c r="PM74" s="945"/>
      <c r="PN74" s="945"/>
      <c r="PO74" s="945"/>
      <c r="PP74" s="945"/>
      <c r="PQ74" s="945"/>
      <c r="PR74" s="945"/>
      <c r="PS74" s="945"/>
      <c r="PT74" s="945"/>
      <c r="PU74" s="945"/>
      <c r="PV74" s="945"/>
      <c r="PW74" s="945"/>
      <c r="PX74" s="945"/>
      <c r="PY74" s="945"/>
      <c r="PZ74" s="945"/>
      <c r="QA74" s="945"/>
      <c r="QB74" s="945"/>
      <c r="QC74" s="945"/>
      <c r="QD74" s="945"/>
      <c r="QE74" s="945"/>
      <c r="QF74" s="945"/>
      <c r="QG74" s="945"/>
      <c r="QH74" s="945"/>
      <c r="QI74" s="945"/>
      <c r="QJ74" s="945"/>
      <c r="QK74" s="945"/>
      <c r="QL74" s="945"/>
      <c r="QM74" s="945"/>
      <c r="QN74" s="945"/>
      <c r="QO74" s="945"/>
      <c r="QP74" s="945"/>
      <c r="QQ74" s="945"/>
      <c r="QR74" s="945"/>
      <c r="QS74" s="945"/>
      <c r="QT74" s="945"/>
      <c r="QU74" s="945"/>
      <c r="QV74" s="945"/>
      <c r="QW74" s="945"/>
      <c r="QX74" s="945"/>
      <c r="QY74" s="945"/>
      <c r="QZ74" s="945"/>
      <c r="RA74" s="945"/>
      <c r="RB74" s="945"/>
      <c r="RC74" s="945"/>
      <c r="RD74" s="945"/>
      <c r="RE74" s="945"/>
      <c r="RF74" s="945"/>
      <c r="RG74" s="945"/>
      <c r="RH74" s="945"/>
      <c r="RI74" s="945"/>
      <c r="RJ74" s="945"/>
      <c r="RK74" s="945"/>
      <c r="RL74" s="945"/>
      <c r="RM74" s="945"/>
      <c r="RN74" s="945"/>
      <c r="RO74" s="945"/>
      <c r="RP74" s="945"/>
      <c r="RQ74" s="945"/>
      <c r="RR74" s="945"/>
      <c r="RS74" s="945"/>
      <c r="RT74" s="945"/>
      <c r="RU74" s="945"/>
      <c r="RV74" s="945"/>
      <c r="RW74" s="945"/>
      <c r="RX74" s="945"/>
    </row>
    <row r="75" spans="1:492" s="165" customFormat="1">
      <c r="A75" s="945"/>
      <c r="B75" s="945"/>
      <c r="C75" s="945"/>
      <c r="D75" s="945"/>
      <c r="E75" s="945"/>
      <c r="F75" s="945"/>
      <c r="G75" s="945"/>
      <c r="H75" s="945"/>
      <c r="I75" s="945"/>
      <c r="J75" s="945"/>
      <c r="K75" s="945"/>
      <c r="L75" s="945"/>
      <c r="M75" s="945"/>
      <c r="N75" s="945"/>
      <c r="O75" s="945"/>
      <c r="P75" s="945"/>
      <c r="Q75" s="945"/>
      <c r="R75" s="945"/>
      <c r="S75" s="945"/>
      <c r="T75" s="945"/>
      <c r="U75" s="945"/>
      <c r="V75" s="945"/>
      <c r="W75" s="945"/>
      <c r="X75" s="945"/>
      <c r="Y75" s="945"/>
      <c r="Z75" s="945"/>
      <c r="AA75" s="945"/>
      <c r="AB75" s="945"/>
      <c r="AC75" s="945"/>
      <c r="AD75" s="945"/>
      <c r="AE75" s="945"/>
      <c r="AF75" s="945"/>
      <c r="AG75" s="945"/>
      <c r="AH75" s="945"/>
      <c r="AI75" s="945"/>
      <c r="AJ75" s="945"/>
      <c r="AK75" s="945"/>
      <c r="AL75" s="945"/>
      <c r="AM75" s="948"/>
      <c r="AN75" s="948"/>
      <c r="AO75" s="948"/>
      <c r="AP75" s="948"/>
      <c r="AQ75" s="948"/>
      <c r="AR75" s="948"/>
      <c r="AS75" s="948"/>
      <c r="AT75" s="948"/>
      <c r="AU75" s="948"/>
      <c r="AV75" s="948"/>
      <c r="AW75" s="948"/>
      <c r="AX75" s="948"/>
      <c r="AY75" s="948"/>
      <c r="AZ75" s="948"/>
      <c r="BA75" s="948"/>
      <c r="BB75" s="948"/>
      <c r="BC75" s="948"/>
      <c r="BD75" s="948"/>
      <c r="BE75" s="948"/>
      <c r="BF75" s="948"/>
      <c r="BG75" s="948"/>
      <c r="BH75" s="948"/>
      <c r="BI75" s="948"/>
      <c r="BJ75" s="948"/>
      <c r="BK75" s="948"/>
      <c r="BL75" s="948"/>
      <c r="BM75" s="948"/>
      <c r="BN75" s="948"/>
      <c r="BO75" s="948"/>
      <c r="BP75" s="948"/>
      <c r="BQ75" s="948"/>
      <c r="BR75" s="948"/>
      <c r="BS75" s="948"/>
      <c r="BT75" s="948"/>
      <c r="BU75" s="948"/>
      <c r="BV75" s="948"/>
      <c r="BW75" s="948"/>
      <c r="BX75" s="948"/>
      <c r="BY75" s="948"/>
      <c r="BZ75" s="948"/>
      <c r="CA75" s="945"/>
      <c r="CB75" s="945"/>
      <c r="CC75" s="945"/>
      <c r="CD75" s="945"/>
      <c r="CE75" s="945"/>
      <c r="CF75" s="945"/>
      <c r="CG75" s="945"/>
      <c r="CH75" s="945"/>
      <c r="CI75" s="945"/>
      <c r="CJ75" s="945"/>
      <c r="CK75" s="945"/>
      <c r="CL75" s="945"/>
      <c r="CM75" s="945"/>
      <c r="CN75" s="945"/>
      <c r="CO75" s="945"/>
      <c r="CP75" s="945"/>
      <c r="CQ75" s="945"/>
      <c r="CR75" s="945"/>
      <c r="CS75" s="945"/>
      <c r="CT75" s="945"/>
      <c r="CU75" s="945"/>
      <c r="CV75" s="945"/>
      <c r="CW75" s="945"/>
      <c r="CX75" s="945"/>
      <c r="CY75" s="945"/>
      <c r="CZ75" s="945"/>
      <c r="DA75" s="945"/>
      <c r="DB75" s="945"/>
      <c r="DC75" s="945"/>
      <c r="DD75" s="945"/>
      <c r="DE75" s="945"/>
      <c r="DF75" s="945"/>
      <c r="DG75" s="945"/>
      <c r="DH75" s="945"/>
      <c r="DI75" s="945"/>
      <c r="DJ75" s="945"/>
      <c r="DK75" s="945"/>
      <c r="DL75" s="945"/>
      <c r="DM75" s="945"/>
      <c r="DN75" s="945"/>
      <c r="DO75" s="945"/>
      <c r="DP75" s="945"/>
      <c r="DQ75" s="945"/>
      <c r="DR75" s="945"/>
      <c r="DS75" s="945"/>
      <c r="DT75" s="945"/>
      <c r="DU75" s="945"/>
      <c r="DV75" s="945"/>
      <c r="DW75" s="945"/>
      <c r="DX75" s="945"/>
      <c r="DY75" s="945"/>
      <c r="DZ75" s="945"/>
      <c r="EA75" s="945"/>
      <c r="EB75" s="945"/>
      <c r="EC75" s="945"/>
      <c r="ED75" s="945"/>
      <c r="EE75" s="945"/>
      <c r="EF75" s="945"/>
      <c r="EG75" s="945"/>
      <c r="EH75" s="945"/>
      <c r="EI75" s="945"/>
      <c r="EJ75" s="945"/>
      <c r="EK75" s="945"/>
      <c r="EL75" s="945"/>
      <c r="EM75" s="945"/>
      <c r="EN75" s="945"/>
      <c r="EO75" s="945"/>
      <c r="EP75" s="945"/>
      <c r="EQ75" s="945"/>
      <c r="ER75" s="945"/>
      <c r="ES75" s="945"/>
      <c r="ET75" s="945"/>
      <c r="EU75" s="945"/>
      <c r="EV75" s="945"/>
      <c r="EW75" s="945"/>
      <c r="EX75" s="945"/>
      <c r="EY75" s="945"/>
      <c r="EZ75" s="945"/>
      <c r="FA75" s="945"/>
      <c r="FB75" s="945"/>
      <c r="FC75" s="945"/>
      <c r="FD75" s="945"/>
      <c r="FE75" s="945"/>
      <c r="FF75" s="945"/>
      <c r="FG75" s="945"/>
      <c r="FH75" s="945"/>
      <c r="FI75" s="945"/>
      <c r="FJ75" s="945"/>
      <c r="FK75" s="945"/>
      <c r="FL75" s="945"/>
      <c r="FM75" s="945"/>
      <c r="FN75" s="945"/>
      <c r="FO75" s="945"/>
      <c r="FP75" s="945"/>
      <c r="FQ75" s="945"/>
      <c r="FR75" s="945"/>
      <c r="FS75" s="945"/>
      <c r="FT75" s="945"/>
      <c r="FU75" s="945"/>
      <c r="FV75" s="945"/>
      <c r="FW75" s="945"/>
      <c r="FX75" s="945"/>
      <c r="FY75" s="945"/>
      <c r="FZ75" s="945"/>
      <c r="GA75" s="945"/>
      <c r="GB75" s="945"/>
      <c r="GC75" s="945"/>
      <c r="GD75" s="945"/>
      <c r="GE75" s="945"/>
      <c r="GF75" s="945"/>
      <c r="GG75" s="945"/>
      <c r="GH75" s="945"/>
      <c r="GI75" s="945"/>
      <c r="GJ75" s="945"/>
      <c r="GK75" s="945"/>
      <c r="GL75" s="945"/>
      <c r="GM75" s="945"/>
      <c r="GN75" s="945"/>
      <c r="GO75" s="945"/>
      <c r="GP75" s="945"/>
      <c r="GQ75" s="945"/>
      <c r="GR75" s="945"/>
      <c r="GS75" s="945"/>
      <c r="GT75" s="945"/>
      <c r="GU75" s="945"/>
      <c r="GV75" s="945"/>
      <c r="GW75" s="945"/>
      <c r="GX75" s="945"/>
      <c r="GY75" s="945"/>
      <c r="GZ75" s="945"/>
      <c r="HA75" s="945"/>
      <c r="HB75" s="945"/>
      <c r="HC75" s="945"/>
      <c r="HD75" s="945"/>
      <c r="HE75" s="945"/>
      <c r="HF75" s="945"/>
      <c r="HG75" s="945"/>
      <c r="HH75" s="945"/>
      <c r="HI75" s="945"/>
      <c r="HJ75" s="945"/>
      <c r="HK75" s="945"/>
      <c r="HL75" s="945"/>
      <c r="HM75" s="945"/>
      <c r="HN75" s="945"/>
      <c r="HO75" s="945"/>
      <c r="HP75" s="945"/>
      <c r="HQ75" s="945"/>
      <c r="HR75" s="945"/>
      <c r="HS75" s="945"/>
      <c r="HT75" s="945"/>
      <c r="HU75" s="945"/>
      <c r="HV75" s="945"/>
      <c r="HW75" s="945"/>
      <c r="HX75" s="945"/>
      <c r="HY75" s="945"/>
      <c r="HZ75" s="945"/>
      <c r="IA75" s="945"/>
      <c r="IB75" s="945"/>
      <c r="IC75" s="945"/>
      <c r="ID75" s="945"/>
      <c r="IE75" s="945"/>
      <c r="IF75" s="945"/>
      <c r="IG75" s="945"/>
      <c r="IH75" s="945"/>
      <c r="II75" s="945"/>
      <c r="IJ75" s="945"/>
      <c r="IK75" s="945"/>
      <c r="IL75" s="945"/>
      <c r="IM75" s="945"/>
      <c r="IN75" s="945"/>
      <c r="IO75" s="945"/>
      <c r="IP75" s="945"/>
      <c r="IQ75" s="945"/>
      <c r="IR75" s="945"/>
      <c r="IS75" s="945"/>
      <c r="IT75" s="945"/>
      <c r="IU75" s="945"/>
      <c r="IV75" s="945"/>
      <c r="IW75" s="945"/>
      <c r="IX75" s="945"/>
      <c r="IY75" s="945"/>
      <c r="IZ75" s="945"/>
      <c r="JA75" s="945"/>
      <c r="JB75" s="945"/>
      <c r="JC75" s="945"/>
      <c r="JD75" s="945"/>
      <c r="JE75" s="945"/>
      <c r="JF75" s="945"/>
      <c r="JG75" s="945"/>
      <c r="JH75" s="945"/>
      <c r="JI75" s="945"/>
      <c r="JJ75" s="945"/>
      <c r="JK75" s="945"/>
      <c r="JL75" s="945"/>
      <c r="JM75" s="945"/>
      <c r="JN75" s="945"/>
      <c r="JO75" s="945"/>
      <c r="JP75" s="945"/>
      <c r="JQ75" s="945"/>
      <c r="JR75" s="945"/>
      <c r="JS75" s="945"/>
      <c r="JT75" s="945"/>
      <c r="JU75" s="945"/>
      <c r="JV75" s="945"/>
      <c r="JW75" s="945"/>
      <c r="JX75" s="945"/>
      <c r="JY75" s="945"/>
      <c r="JZ75" s="945"/>
      <c r="KA75" s="945"/>
      <c r="KB75" s="945"/>
      <c r="KC75" s="945"/>
      <c r="KD75" s="945"/>
      <c r="KE75" s="945"/>
      <c r="KF75" s="945"/>
      <c r="KG75" s="945"/>
      <c r="KH75" s="945"/>
      <c r="KI75" s="945"/>
      <c r="KJ75" s="945"/>
      <c r="KK75" s="945"/>
      <c r="KL75" s="945"/>
      <c r="KM75" s="945"/>
      <c r="KN75" s="945"/>
      <c r="KO75" s="945"/>
      <c r="KP75" s="945"/>
      <c r="KQ75" s="945"/>
      <c r="KR75" s="945"/>
      <c r="KS75" s="945"/>
      <c r="KT75" s="945"/>
      <c r="KU75" s="945"/>
      <c r="KV75" s="945"/>
      <c r="KW75" s="945"/>
      <c r="KX75" s="945"/>
      <c r="KY75" s="945"/>
      <c r="KZ75" s="945"/>
      <c r="LA75" s="945"/>
      <c r="LB75" s="945"/>
      <c r="LC75" s="945"/>
      <c r="LD75" s="945"/>
      <c r="LE75" s="945"/>
      <c r="LF75" s="945"/>
      <c r="LG75" s="945"/>
      <c r="LH75" s="945"/>
      <c r="LI75" s="945"/>
      <c r="LJ75" s="945"/>
      <c r="LK75" s="945"/>
      <c r="LL75" s="945"/>
      <c r="LM75" s="945"/>
      <c r="LN75" s="945"/>
      <c r="LO75" s="945"/>
      <c r="LP75" s="945"/>
      <c r="LQ75" s="945"/>
      <c r="LR75" s="945"/>
      <c r="LS75" s="945"/>
      <c r="LT75" s="945"/>
      <c r="LU75" s="945"/>
      <c r="LV75" s="945"/>
      <c r="LW75" s="945"/>
      <c r="LX75" s="945"/>
      <c r="LY75" s="945"/>
      <c r="LZ75" s="945"/>
      <c r="MA75" s="945"/>
      <c r="MB75" s="945"/>
      <c r="MC75" s="945"/>
      <c r="MD75" s="945"/>
      <c r="ME75" s="945"/>
      <c r="MF75" s="945"/>
      <c r="MG75" s="945"/>
      <c r="MH75" s="945"/>
      <c r="MI75" s="945"/>
      <c r="MJ75" s="945"/>
      <c r="MK75" s="945"/>
      <c r="ML75" s="945"/>
      <c r="MM75" s="945"/>
      <c r="MN75" s="945"/>
      <c r="MO75" s="945"/>
      <c r="MP75" s="945"/>
      <c r="MQ75" s="945"/>
      <c r="MR75" s="945"/>
      <c r="MS75" s="945"/>
      <c r="MT75" s="945"/>
      <c r="MU75" s="945"/>
      <c r="MV75" s="945"/>
      <c r="MW75" s="945"/>
      <c r="MX75" s="945"/>
      <c r="MY75" s="945"/>
      <c r="MZ75" s="945"/>
      <c r="NA75" s="945"/>
      <c r="NB75" s="945"/>
      <c r="NC75" s="945"/>
      <c r="ND75" s="945"/>
      <c r="NE75" s="945"/>
      <c r="NF75" s="945"/>
      <c r="NG75" s="945"/>
      <c r="NH75" s="945"/>
      <c r="NI75" s="945"/>
      <c r="NJ75" s="945"/>
      <c r="NK75" s="945"/>
      <c r="NL75" s="945"/>
      <c r="NM75" s="945"/>
      <c r="NN75" s="945"/>
      <c r="NO75" s="945"/>
      <c r="NP75" s="945"/>
      <c r="NQ75" s="945"/>
      <c r="NR75" s="945"/>
      <c r="NS75" s="945"/>
      <c r="NT75" s="945"/>
      <c r="NU75" s="945"/>
      <c r="NV75" s="945"/>
      <c r="NW75" s="945"/>
      <c r="NX75" s="945"/>
      <c r="NY75" s="945"/>
      <c r="NZ75" s="945"/>
      <c r="OA75" s="945"/>
      <c r="OB75" s="945"/>
      <c r="OC75" s="945"/>
      <c r="OD75" s="945"/>
      <c r="OE75" s="945"/>
      <c r="OF75" s="945"/>
      <c r="OG75" s="945"/>
      <c r="OH75" s="945"/>
      <c r="OI75" s="945"/>
      <c r="OJ75" s="945"/>
      <c r="OK75" s="945"/>
      <c r="OL75" s="945"/>
      <c r="OM75" s="945"/>
      <c r="ON75" s="945"/>
      <c r="OO75" s="945"/>
      <c r="OP75" s="945"/>
      <c r="OQ75" s="945"/>
      <c r="OR75" s="945"/>
      <c r="OS75" s="945"/>
      <c r="OT75" s="945"/>
      <c r="OU75" s="945"/>
      <c r="OV75" s="945"/>
      <c r="OW75" s="945"/>
      <c r="OX75" s="945"/>
      <c r="OY75" s="945"/>
      <c r="OZ75" s="945"/>
      <c r="PA75" s="945"/>
      <c r="PB75" s="945"/>
      <c r="PC75" s="945"/>
      <c r="PD75" s="945"/>
      <c r="PE75" s="945"/>
      <c r="PF75" s="945"/>
      <c r="PG75" s="945"/>
      <c r="PH75" s="945"/>
      <c r="PI75" s="945"/>
      <c r="PJ75" s="945"/>
      <c r="PK75" s="945"/>
      <c r="PL75" s="945"/>
      <c r="PM75" s="945"/>
      <c r="PN75" s="945"/>
      <c r="PO75" s="945"/>
      <c r="PP75" s="945"/>
      <c r="PQ75" s="945"/>
      <c r="PR75" s="945"/>
      <c r="PS75" s="945"/>
      <c r="PT75" s="945"/>
      <c r="PU75" s="945"/>
      <c r="PV75" s="945"/>
      <c r="PW75" s="945"/>
      <c r="PX75" s="945"/>
      <c r="PY75" s="945"/>
      <c r="PZ75" s="945"/>
      <c r="QA75" s="945"/>
      <c r="QB75" s="945"/>
      <c r="QC75" s="945"/>
      <c r="QD75" s="945"/>
      <c r="QE75" s="945"/>
      <c r="QF75" s="945"/>
      <c r="QG75" s="945"/>
      <c r="QH75" s="945"/>
      <c r="QI75" s="945"/>
      <c r="QJ75" s="945"/>
      <c r="QK75" s="945"/>
      <c r="QL75" s="945"/>
      <c r="QM75" s="945"/>
      <c r="QN75" s="945"/>
      <c r="QO75" s="945"/>
      <c r="QP75" s="945"/>
      <c r="QQ75" s="945"/>
      <c r="QR75" s="945"/>
      <c r="QS75" s="945"/>
      <c r="QT75" s="945"/>
      <c r="QU75" s="945"/>
      <c r="QV75" s="945"/>
      <c r="QW75" s="945"/>
      <c r="QX75" s="945"/>
      <c r="QY75" s="945"/>
      <c r="QZ75" s="945"/>
      <c r="RA75" s="945"/>
      <c r="RB75" s="945"/>
      <c r="RC75" s="945"/>
      <c r="RD75" s="945"/>
      <c r="RE75" s="945"/>
      <c r="RF75" s="945"/>
      <c r="RG75" s="945"/>
      <c r="RH75" s="945"/>
      <c r="RI75" s="945"/>
      <c r="RJ75" s="945"/>
      <c r="RK75" s="945"/>
      <c r="RL75" s="945"/>
      <c r="RM75" s="945"/>
      <c r="RN75" s="945"/>
      <c r="RO75" s="945"/>
      <c r="RP75" s="945"/>
      <c r="RQ75" s="945"/>
      <c r="RR75" s="945"/>
      <c r="RS75" s="945"/>
      <c r="RT75" s="945"/>
      <c r="RU75" s="945"/>
      <c r="RV75" s="945"/>
      <c r="RW75" s="945"/>
      <c r="RX75" s="945"/>
    </row>
    <row r="76" spans="1:492" s="165" customFormat="1">
      <c r="A76" s="945"/>
      <c r="B76" s="945"/>
      <c r="C76" s="945"/>
      <c r="D76" s="945"/>
      <c r="E76" s="945"/>
      <c r="F76" s="945"/>
      <c r="G76" s="945"/>
      <c r="H76" s="945"/>
      <c r="I76" s="945"/>
      <c r="J76" s="945"/>
      <c r="K76" s="945"/>
      <c r="L76" s="945"/>
      <c r="M76" s="945"/>
      <c r="N76" s="945"/>
      <c r="O76" s="945"/>
      <c r="P76" s="945"/>
      <c r="Q76" s="945"/>
      <c r="R76" s="945"/>
      <c r="S76" s="945"/>
      <c r="T76" s="945"/>
      <c r="U76" s="945"/>
      <c r="V76" s="945"/>
      <c r="W76" s="945"/>
      <c r="X76" s="945"/>
      <c r="Y76" s="945"/>
      <c r="Z76" s="945"/>
      <c r="AA76" s="945"/>
      <c r="AB76" s="945"/>
      <c r="AC76" s="945"/>
      <c r="AD76" s="945"/>
      <c r="AE76" s="945"/>
      <c r="AF76" s="945"/>
      <c r="AG76" s="945"/>
      <c r="AH76" s="945"/>
      <c r="AI76" s="945"/>
      <c r="AJ76" s="945"/>
      <c r="AK76" s="945"/>
      <c r="AL76" s="945"/>
      <c r="AM76" s="948"/>
      <c r="AN76" s="948"/>
      <c r="AO76" s="948"/>
      <c r="AP76" s="948"/>
      <c r="AQ76" s="948"/>
      <c r="AR76" s="948"/>
      <c r="AS76" s="948"/>
      <c r="AT76" s="948"/>
      <c r="AU76" s="948"/>
      <c r="AV76" s="948"/>
      <c r="AW76" s="948"/>
      <c r="AX76" s="948"/>
      <c r="AY76" s="948"/>
      <c r="AZ76" s="948"/>
      <c r="BA76" s="948"/>
      <c r="BB76" s="948"/>
      <c r="BC76" s="948"/>
      <c r="BD76" s="948"/>
      <c r="BE76" s="948"/>
      <c r="BF76" s="948"/>
      <c r="BG76" s="948"/>
      <c r="BH76" s="948"/>
      <c r="BI76" s="948"/>
      <c r="BJ76" s="948"/>
      <c r="BK76" s="948"/>
      <c r="BL76" s="948"/>
      <c r="BM76" s="948"/>
      <c r="BN76" s="948"/>
      <c r="BO76" s="948"/>
      <c r="BP76" s="948"/>
      <c r="BQ76" s="948"/>
      <c r="BR76" s="948"/>
      <c r="BS76" s="948"/>
      <c r="BT76" s="948"/>
      <c r="BU76" s="948"/>
      <c r="BV76" s="948"/>
      <c r="BW76" s="948"/>
      <c r="BX76" s="948"/>
      <c r="BY76" s="948"/>
      <c r="BZ76" s="948"/>
      <c r="CA76" s="945"/>
      <c r="CB76" s="945"/>
      <c r="CC76" s="945"/>
      <c r="CD76" s="945"/>
      <c r="CE76" s="945"/>
      <c r="CF76" s="945"/>
      <c r="CG76" s="945"/>
      <c r="CH76" s="945"/>
      <c r="CI76" s="945"/>
      <c r="CJ76" s="945"/>
      <c r="CK76" s="945"/>
      <c r="CL76" s="945"/>
      <c r="CM76" s="945"/>
      <c r="CN76" s="945"/>
      <c r="CO76" s="945"/>
      <c r="CP76" s="945"/>
      <c r="CQ76" s="945"/>
      <c r="CR76" s="945"/>
      <c r="CS76" s="945"/>
      <c r="CT76" s="945"/>
      <c r="CU76" s="945"/>
      <c r="CV76" s="945"/>
      <c r="CW76" s="945"/>
      <c r="CX76" s="945"/>
      <c r="CY76" s="945"/>
      <c r="CZ76" s="945"/>
      <c r="DA76" s="945"/>
      <c r="DB76" s="945"/>
      <c r="DC76" s="945"/>
      <c r="DD76" s="945"/>
      <c r="DE76" s="945"/>
      <c r="DF76" s="945"/>
      <c r="DG76" s="945"/>
      <c r="DH76" s="945"/>
      <c r="DI76" s="945"/>
      <c r="DJ76" s="945"/>
      <c r="DK76" s="945"/>
      <c r="DL76" s="945"/>
      <c r="DM76" s="945"/>
      <c r="DN76" s="945"/>
      <c r="DO76" s="945"/>
      <c r="DP76" s="945"/>
      <c r="DQ76" s="945"/>
      <c r="DR76" s="945"/>
      <c r="DS76" s="945"/>
      <c r="DT76" s="945"/>
      <c r="DU76" s="945"/>
      <c r="DV76" s="945"/>
      <c r="DW76" s="945"/>
      <c r="DX76" s="945"/>
      <c r="DY76" s="945"/>
      <c r="DZ76" s="945"/>
      <c r="EA76" s="945"/>
      <c r="EB76" s="945"/>
      <c r="EC76" s="945"/>
      <c r="ED76" s="945"/>
      <c r="EE76" s="945"/>
      <c r="EF76" s="945"/>
      <c r="EG76" s="945"/>
      <c r="EH76" s="945"/>
      <c r="EI76" s="945"/>
      <c r="EJ76" s="945"/>
      <c r="EK76" s="945"/>
      <c r="EL76" s="945"/>
      <c r="EM76" s="945"/>
      <c r="EN76" s="945"/>
      <c r="EO76" s="945"/>
      <c r="EP76" s="945"/>
      <c r="EQ76" s="945"/>
      <c r="ER76" s="945"/>
      <c r="ES76" s="945"/>
      <c r="ET76" s="945"/>
      <c r="EU76" s="945"/>
      <c r="EV76" s="945"/>
      <c r="EW76" s="945"/>
      <c r="EX76" s="945"/>
      <c r="EY76" s="945"/>
      <c r="EZ76" s="945"/>
      <c r="FA76" s="945"/>
      <c r="FB76" s="945"/>
      <c r="FC76" s="945"/>
      <c r="FD76" s="945"/>
      <c r="FE76" s="945"/>
      <c r="FF76" s="945"/>
      <c r="FG76" s="945"/>
      <c r="FH76" s="945"/>
      <c r="FI76" s="945"/>
      <c r="FJ76" s="945"/>
      <c r="FK76" s="945"/>
      <c r="FL76" s="945"/>
      <c r="FM76" s="945"/>
      <c r="FN76" s="945"/>
      <c r="FO76" s="945"/>
      <c r="FP76" s="945"/>
      <c r="FQ76" s="945"/>
      <c r="FR76" s="945"/>
      <c r="FS76" s="945"/>
      <c r="FT76" s="945"/>
      <c r="FU76" s="945"/>
      <c r="FV76" s="945"/>
      <c r="FW76" s="945"/>
      <c r="FX76" s="945"/>
      <c r="FY76" s="945"/>
      <c r="FZ76" s="945"/>
      <c r="GA76" s="945"/>
      <c r="GB76" s="945"/>
      <c r="GC76" s="945"/>
      <c r="GD76" s="945"/>
      <c r="GE76" s="945"/>
      <c r="GF76" s="945"/>
      <c r="GG76" s="945"/>
      <c r="GH76" s="945"/>
      <c r="GI76" s="945"/>
      <c r="GJ76" s="945"/>
      <c r="GK76" s="945"/>
      <c r="GL76" s="945"/>
      <c r="GM76" s="945"/>
      <c r="GN76" s="945"/>
      <c r="GO76" s="945"/>
      <c r="GP76" s="945"/>
      <c r="GQ76" s="945"/>
      <c r="GR76" s="945"/>
      <c r="GS76" s="945"/>
      <c r="GT76" s="945"/>
      <c r="GU76" s="945"/>
      <c r="GV76" s="945"/>
      <c r="GW76" s="945"/>
      <c r="GX76" s="945"/>
      <c r="GY76" s="945"/>
      <c r="GZ76" s="945"/>
      <c r="HA76" s="945"/>
      <c r="HB76" s="945"/>
      <c r="HC76" s="945"/>
      <c r="HD76" s="945"/>
      <c r="HE76" s="945"/>
      <c r="HF76" s="945"/>
      <c r="HG76" s="945"/>
      <c r="HH76" s="945"/>
      <c r="HI76" s="945"/>
      <c r="HJ76" s="945"/>
      <c r="HK76" s="945"/>
      <c r="HL76" s="945"/>
      <c r="HM76" s="945"/>
      <c r="HN76" s="945"/>
      <c r="HO76" s="945"/>
      <c r="HP76" s="945"/>
      <c r="HQ76" s="945"/>
      <c r="HR76" s="945"/>
      <c r="HS76" s="945"/>
      <c r="HT76" s="945"/>
      <c r="HU76" s="945"/>
      <c r="HV76" s="945"/>
      <c r="HW76" s="945"/>
      <c r="HX76" s="945"/>
      <c r="HY76" s="945"/>
      <c r="HZ76" s="945"/>
      <c r="IA76" s="945"/>
      <c r="IB76" s="945"/>
      <c r="IC76" s="945"/>
      <c r="ID76" s="945"/>
      <c r="IE76" s="945"/>
      <c r="IF76" s="945"/>
      <c r="IG76" s="945"/>
      <c r="IH76" s="945"/>
      <c r="II76" s="945"/>
      <c r="IJ76" s="945"/>
      <c r="IK76" s="945"/>
      <c r="IL76" s="945"/>
      <c r="IM76" s="945"/>
      <c r="IN76" s="945"/>
      <c r="IO76" s="945"/>
      <c r="IP76" s="945"/>
      <c r="IQ76" s="945"/>
      <c r="IR76" s="945"/>
      <c r="IS76" s="945"/>
      <c r="IT76" s="945"/>
      <c r="IU76" s="945"/>
      <c r="IV76" s="945"/>
      <c r="IW76" s="945"/>
      <c r="IX76" s="945"/>
      <c r="IY76" s="945"/>
      <c r="IZ76" s="945"/>
      <c r="JA76" s="945"/>
      <c r="JB76" s="945"/>
      <c r="JC76" s="945"/>
      <c r="JD76" s="945"/>
      <c r="JE76" s="945"/>
      <c r="JF76" s="945"/>
      <c r="JG76" s="945"/>
      <c r="JH76" s="945"/>
      <c r="JI76" s="945"/>
      <c r="JJ76" s="945"/>
      <c r="JK76" s="945"/>
      <c r="JL76" s="945"/>
      <c r="JM76" s="945"/>
      <c r="JN76" s="945"/>
      <c r="JO76" s="945"/>
      <c r="JP76" s="945"/>
      <c r="JQ76" s="945"/>
      <c r="JR76" s="945"/>
      <c r="JS76" s="945"/>
      <c r="JT76" s="945"/>
      <c r="JU76" s="945"/>
      <c r="JV76" s="945"/>
      <c r="JW76" s="945"/>
      <c r="JX76" s="945"/>
      <c r="JY76" s="945"/>
      <c r="JZ76" s="945"/>
      <c r="KA76" s="945"/>
      <c r="KB76" s="945"/>
      <c r="KC76" s="945"/>
      <c r="KD76" s="945"/>
      <c r="KE76" s="945"/>
      <c r="KF76" s="945"/>
      <c r="KG76" s="945"/>
      <c r="KH76" s="945"/>
      <c r="KI76" s="945"/>
      <c r="KJ76" s="945"/>
      <c r="KK76" s="945"/>
      <c r="KL76" s="945"/>
      <c r="KM76" s="945"/>
      <c r="KN76" s="945"/>
      <c r="KO76" s="945"/>
      <c r="KP76" s="945"/>
      <c r="KQ76" s="945"/>
      <c r="KR76" s="945"/>
      <c r="KS76" s="945"/>
      <c r="KT76" s="945"/>
      <c r="KU76" s="945"/>
      <c r="KV76" s="945"/>
      <c r="KW76" s="945"/>
      <c r="KX76" s="945"/>
      <c r="KY76" s="945"/>
      <c r="KZ76" s="945"/>
      <c r="LA76" s="945"/>
      <c r="LB76" s="945"/>
      <c r="LC76" s="945"/>
      <c r="LD76" s="945"/>
      <c r="LE76" s="945"/>
      <c r="LF76" s="945"/>
      <c r="LG76" s="945"/>
      <c r="LH76" s="945"/>
      <c r="LI76" s="945"/>
      <c r="LJ76" s="945"/>
      <c r="LK76" s="945"/>
      <c r="LL76" s="945"/>
      <c r="LM76" s="945"/>
      <c r="LN76" s="945"/>
      <c r="LO76" s="945"/>
      <c r="LP76" s="945"/>
      <c r="LQ76" s="945"/>
      <c r="LR76" s="945"/>
      <c r="LS76" s="945"/>
      <c r="LT76" s="945"/>
      <c r="LU76" s="945"/>
      <c r="LV76" s="945"/>
      <c r="LW76" s="945"/>
      <c r="LX76" s="945"/>
      <c r="LY76" s="945"/>
      <c r="LZ76" s="945"/>
      <c r="MA76" s="945"/>
      <c r="MB76" s="945"/>
      <c r="MC76" s="945"/>
      <c r="MD76" s="945"/>
      <c r="ME76" s="945"/>
      <c r="MF76" s="945"/>
      <c r="MG76" s="945"/>
      <c r="MH76" s="945"/>
      <c r="MI76" s="945"/>
      <c r="MJ76" s="945"/>
      <c r="MK76" s="945"/>
      <c r="ML76" s="945"/>
      <c r="MM76" s="945"/>
      <c r="MN76" s="945"/>
      <c r="MO76" s="945"/>
      <c r="MP76" s="945"/>
      <c r="MQ76" s="945"/>
      <c r="MR76" s="945"/>
      <c r="MS76" s="945"/>
      <c r="MT76" s="945"/>
      <c r="MU76" s="945"/>
      <c r="MV76" s="945"/>
      <c r="MW76" s="945"/>
      <c r="MX76" s="945"/>
      <c r="MY76" s="945"/>
      <c r="MZ76" s="945"/>
      <c r="NA76" s="945"/>
      <c r="NB76" s="945"/>
      <c r="NC76" s="945"/>
      <c r="ND76" s="945"/>
      <c r="NE76" s="945"/>
      <c r="NF76" s="945"/>
      <c r="NG76" s="945"/>
      <c r="NH76" s="945"/>
      <c r="NI76" s="945"/>
      <c r="NJ76" s="945"/>
      <c r="NK76" s="945"/>
      <c r="NL76" s="945"/>
      <c r="NM76" s="945"/>
      <c r="NN76" s="945"/>
      <c r="NO76" s="945"/>
      <c r="NP76" s="945"/>
      <c r="NQ76" s="945"/>
      <c r="NR76" s="945"/>
      <c r="NS76" s="945"/>
      <c r="NT76" s="945"/>
      <c r="NU76" s="945"/>
      <c r="NV76" s="945"/>
      <c r="NW76" s="945"/>
      <c r="NX76" s="945"/>
      <c r="NY76" s="945"/>
      <c r="NZ76" s="945"/>
      <c r="OA76" s="945"/>
      <c r="OB76" s="945"/>
      <c r="OC76" s="945"/>
      <c r="OD76" s="945"/>
      <c r="OE76" s="945"/>
      <c r="OF76" s="945"/>
      <c r="OG76" s="945"/>
      <c r="OH76" s="945"/>
      <c r="OI76" s="945"/>
      <c r="OJ76" s="945"/>
      <c r="OK76" s="945"/>
      <c r="OL76" s="945"/>
      <c r="OM76" s="945"/>
      <c r="ON76" s="945"/>
      <c r="OO76" s="945"/>
      <c r="OP76" s="945"/>
      <c r="OQ76" s="945"/>
      <c r="OR76" s="945"/>
      <c r="OS76" s="945"/>
      <c r="OT76" s="945"/>
      <c r="OU76" s="945"/>
      <c r="OV76" s="945"/>
      <c r="OW76" s="945"/>
      <c r="OX76" s="945"/>
      <c r="OY76" s="945"/>
      <c r="OZ76" s="945"/>
      <c r="PA76" s="945"/>
      <c r="PB76" s="945"/>
      <c r="PC76" s="945"/>
      <c r="PD76" s="945"/>
      <c r="PE76" s="945"/>
      <c r="PF76" s="945"/>
      <c r="PG76" s="945"/>
      <c r="PH76" s="945"/>
      <c r="PI76" s="945"/>
      <c r="PJ76" s="945"/>
      <c r="PK76" s="945"/>
      <c r="PL76" s="945"/>
      <c r="PM76" s="945"/>
      <c r="PN76" s="945"/>
      <c r="PO76" s="945"/>
      <c r="PP76" s="945"/>
      <c r="PQ76" s="945"/>
      <c r="PR76" s="945"/>
      <c r="PS76" s="945"/>
      <c r="PT76" s="945"/>
      <c r="PU76" s="945"/>
      <c r="PV76" s="945"/>
      <c r="PW76" s="945"/>
      <c r="PX76" s="945"/>
      <c r="PY76" s="945"/>
      <c r="PZ76" s="945"/>
      <c r="QA76" s="945"/>
      <c r="QB76" s="945"/>
      <c r="QC76" s="945"/>
      <c r="QD76" s="945"/>
      <c r="QE76" s="945"/>
      <c r="QF76" s="945"/>
      <c r="QG76" s="945"/>
      <c r="QH76" s="945"/>
      <c r="QI76" s="945"/>
      <c r="QJ76" s="945"/>
      <c r="QK76" s="945"/>
      <c r="QL76" s="945"/>
      <c r="QM76" s="945"/>
      <c r="QN76" s="945"/>
      <c r="QO76" s="945"/>
      <c r="QP76" s="945"/>
      <c r="QQ76" s="945"/>
      <c r="QR76" s="945"/>
      <c r="QS76" s="945"/>
      <c r="QT76" s="945"/>
      <c r="QU76" s="945"/>
      <c r="QV76" s="945"/>
      <c r="QW76" s="945"/>
      <c r="QX76" s="945"/>
      <c r="QY76" s="945"/>
      <c r="QZ76" s="945"/>
      <c r="RA76" s="945"/>
      <c r="RB76" s="945"/>
      <c r="RC76" s="945"/>
      <c r="RD76" s="945"/>
      <c r="RE76" s="945"/>
      <c r="RF76" s="945"/>
      <c r="RG76" s="945"/>
      <c r="RH76" s="945"/>
      <c r="RI76" s="945"/>
      <c r="RJ76" s="945"/>
      <c r="RK76" s="945"/>
      <c r="RL76" s="945"/>
      <c r="RM76" s="945"/>
      <c r="RN76" s="945"/>
      <c r="RO76" s="945"/>
      <c r="RP76" s="945"/>
      <c r="RQ76" s="945"/>
      <c r="RR76" s="945"/>
      <c r="RS76" s="945"/>
      <c r="RT76" s="945"/>
      <c r="RU76" s="945"/>
      <c r="RV76" s="945"/>
      <c r="RW76" s="945"/>
      <c r="RX76" s="945"/>
    </row>
    <row r="77" spans="1:492" s="165" customFormat="1">
      <c r="A77" s="945"/>
      <c r="B77" s="945"/>
      <c r="C77" s="945"/>
      <c r="D77" s="945"/>
      <c r="E77" s="945"/>
      <c r="F77" s="945"/>
      <c r="G77" s="945"/>
      <c r="H77" s="945"/>
      <c r="I77" s="945"/>
      <c r="J77" s="945"/>
      <c r="K77" s="945"/>
      <c r="L77" s="945"/>
      <c r="M77" s="945"/>
      <c r="N77" s="945"/>
      <c r="O77" s="945"/>
      <c r="P77" s="945"/>
      <c r="Q77" s="945"/>
      <c r="R77" s="945"/>
      <c r="S77" s="945"/>
      <c r="T77" s="945"/>
      <c r="U77" s="945"/>
      <c r="V77" s="945"/>
      <c r="W77" s="945"/>
      <c r="X77" s="945"/>
      <c r="Y77" s="945"/>
      <c r="Z77" s="945"/>
      <c r="AA77" s="945"/>
      <c r="AB77" s="945"/>
      <c r="AC77" s="945"/>
      <c r="AD77" s="945"/>
      <c r="AE77" s="945"/>
      <c r="AF77" s="945"/>
      <c r="AG77" s="945"/>
      <c r="AH77" s="945"/>
      <c r="AI77" s="945"/>
      <c r="AJ77" s="945"/>
      <c r="AK77" s="945"/>
      <c r="AL77" s="945"/>
      <c r="AM77" s="948"/>
      <c r="AN77" s="948"/>
      <c r="AO77" s="948"/>
      <c r="AP77" s="948"/>
      <c r="AQ77" s="948"/>
      <c r="AR77" s="948"/>
      <c r="AS77" s="948"/>
      <c r="AT77" s="948"/>
      <c r="AU77" s="948"/>
      <c r="AV77" s="948"/>
      <c r="AW77" s="948"/>
      <c r="AX77" s="948"/>
      <c r="AY77" s="948"/>
      <c r="AZ77" s="948"/>
      <c r="BA77" s="948"/>
      <c r="BB77" s="948"/>
      <c r="BC77" s="948"/>
      <c r="BD77" s="948"/>
      <c r="BE77" s="948"/>
      <c r="BF77" s="948"/>
      <c r="BG77" s="948"/>
      <c r="BH77" s="948"/>
      <c r="BI77" s="948"/>
      <c r="BJ77" s="948"/>
      <c r="BK77" s="948"/>
      <c r="BL77" s="948"/>
      <c r="BM77" s="948"/>
      <c r="BN77" s="948"/>
      <c r="BO77" s="948"/>
      <c r="BP77" s="948"/>
      <c r="BQ77" s="948"/>
      <c r="BR77" s="948"/>
      <c r="BS77" s="948"/>
      <c r="BT77" s="948"/>
      <c r="BU77" s="948"/>
      <c r="BV77" s="948"/>
      <c r="BW77" s="948"/>
      <c r="BX77" s="948"/>
      <c r="BY77" s="948"/>
      <c r="BZ77" s="948"/>
      <c r="CA77" s="945"/>
      <c r="CB77" s="945"/>
      <c r="CC77" s="945"/>
      <c r="CD77" s="945"/>
      <c r="CE77" s="945"/>
      <c r="CF77" s="945"/>
      <c r="CG77" s="945"/>
      <c r="CH77" s="945"/>
      <c r="CI77" s="945"/>
      <c r="CJ77" s="945"/>
      <c r="CK77" s="945"/>
      <c r="CL77" s="945"/>
      <c r="CM77" s="945"/>
      <c r="CN77" s="945"/>
      <c r="CO77" s="945"/>
      <c r="CP77" s="945"/>
      <c r="CQ77" s="945"/>
      <c r="CR77" s="945"/>
      <c r="CS77" s="945"/>
      <c r="CT77" s="945"/>
      <c r="CU77" s="945"/>
      <c r="CV77" s="945"/>
      <c r="CW77" s="945"/>
      <c r="CX77" s="945"/>
      <c r="CY77" s="945"/>
      <c r="CZ77" s="945"/>
      <c r="DA77" s="945"/>
      <c r="DB77" s="945"/>
      <c r="DC77" s="945"/>
      <c r="DD77" s="945"/>
      <c r="DE77" s="945"/>
      <c r="DF77" s="945"/>
      <c r="DG77" s="945"/>
      <c r="DH77" s="945"/>
      <c r="DI77" s="945"/>
      <c r="DJ77" s="945"/>
      <c r="DK77" s="945"/>
      <c r="DL77" s="945"/>
      <c r="DM77" s="945"/>
      <c r="DN77" s="945"/>
      <c r="DO77" s="945"/>
      <c r="DP77" s="945"/>
      <c r="DQ77" s="945"/>
      <c r="DR77" s="945"/>
      <c r="DS77" s="945"/>
      <c r="DT77" s="945"/>
      <c r="DU77" s="945"/>
      <c r="DV77" s="945"/>
      <c r="DW77" s="945"/>
      <c r="DX77" s="945"/>
      <c r="DY77" s="945"/>
      <c r="DZ77" s="945"/>
      <c r="EA77" s="945"/>
      <c r="EB77" s="945"/>
      <c r="EC77" s="945"/>
      <c r="ED77" s="945"/>
      <c r="EE77" s="945"/>
      <c r="EF77" s="945"/>
      <c r="EG77" s="945"/>
      <c r="EH77" s="945"/>
      <c r="EI77" s="945"/>
      <c r="EJ77" s="945"/>
      <c r="EK77" s="945"/>
      <c r="EL77" s="945"/>
      <c r="EM77" s="945"/>
      <c r="EN77" s="945"/>
      <c r="EO77" s="945"/>
      <c r="EP77" s="945"/>
      <c r="EQ77" s="945"/>
      <c r="ER77" s="945"/>
      <c r="ES77" s="945"/>
      <c r="ET77" s="945"/>
      <c r="EU77" s="945"/>
      <c r="EV77" s="945"/>
      <c r="EW77" s="945"/>
      <c r="EX77" s="945"/>
      <c r="EY77" s="945"/>
      <c r="EZ77" s="945"/>
      <c r="FA77" s="945"/>
      <c r="FB77" s="945"/>
      <c r="FC77" s="945"/>
      <c r="FD77" s="945"/>
      <c r="FE77" s="945"/>
      <c r="FF77" s="945"/>
      <c r="FG77" s="945"/>
      <c r="FH77" s="945"/>
      <c r="FI77" s="945"/>
      <c r="FJ77" s="945"/>
      <c r="FK77" s="945"/>
      <c r="FL77" s="945"/>
      <c r="FM77" s="945"/>
      <c r="FN77" s="945"/>
      <c r="FO77" s="945"/>
      <c r="FP77" s="945"/>
      <c r="FQ77" s="945"/>
      <c r="FR77" s="945"/>
      <c r="FS77" s="945"/>
      <c r="FT77" s="945"/>
      <c r="FU77" s="945"/>
      <c r="FV77" s="945"/>
      <c r="FW77" s="945"/>
      <c r="FX77" s="945"/>
      <c r="FY77" s="945"/>
      <c r="FZ77" s="945"/>
      <c r="GA77" s="945"/>
      <c r="GB77" s="945"/>
      <c r="GC77" s="945"/>
      <c r="GD77" s="945"/>
      <c r="GE77" s="945"/>
      <c r="GF77" s="945"/>
      <c r="GG77" s="945"/>
      <c r="GH77" s="945"/>
      <c r="GI77" s="945"/>
      <c r="GJ77" s="945"/>
      <c r="GK77" s="945"/>
      <c r="GL77" s="945"/>
      <c r="GM77" s="945"/>
      <c r="GN77" s="945"/>
      <c r="GO77" s="945"/>
      <c r="GP77" s="945"/>
      <c r="GQ77" s="945"/>
      <c r="GR77" s="945"/>
      <c r="GS77" s="945"/>
      <c r="GT77" s="945"/>
      <c r="GU77" s="945"/>
      <c r="GV77" s="945"/>
      <c r="GW77" s="945"/>
      <c r="GX77" s="945"/>
      <c r="GY77" s="945"/>
      <c r="GZ77" s="945"/>
      <c r="HA77" s="945"/>
      <c r="HB77" s="945"/>
      <c r="HC77" s="945"/>
      <c r="HD77" s="945"/>
      <c r="HE77" s="945"/>
      <c r="HF77" s="945"/>
      <c r="HG77" s="945"/>
      <c r="HH77" s="945"/>
      <c r="HI77" s="945"/>
      <c r="HJ77" s="945"/>
      <c r="HK77" s="945"/>
      <c r="HL77" s="945"/>
      <c r="HM77" s="945"/>
      <c r="HN77" s="945"/>
      <c r="HO77" s="945"/>
      <c r="HP77" s="945"/>
      <c r="HQ77" s="945"/>
      <c r="HR77" s="945"/>
      <c r="HS77" s="945"/>
      <c r="HT77" s="945"/>
      <c r="HU77" s="945"/>
      <c r="HV77" s="945"/>
      <c r="HW77" s="945"/>
      <c r="HX77" s="945"/>
      <c r="HY77" s="945"/>
      <c r="HZ77" s="945"/>
      <c r="IA77" s="945"/>
      <c r="IB77" s="945"/>
      <c r="IC77" s="945"/>
      <c r="ID77" s="945"/>
      <c r="IE77" s="945"/>
      <c r="IF77" s="945"/>
      <c r="IG77" s="945"/>
      <c r="IH77" s="945"/>
      <c r="II77" s="945"/>
      <c r="IJ77" s="945"/>
      <c r="IK77" s="945"/>
      <c r="IL77" s="945"/>
      <c r="IM77" s="945"/>
      <c r="IN77" s="945"/>
      <c r="IO77" s="945"/>
      <c r="IP77" s="945"/>
      <c r="IQ77" s="945"/>
      <c r="IR77" s="945"/>
      <c r="IS77" s="945"/>
      <c r="IT77" s="945"/>
      <c r="IU77" s="945"/>
      <c r="IV77" s="945"/>
      <c r="IW77" s="945"/>
      <c r="IX77" s="945"/>
      <c r="IY77" s="945"/>
      <c r="IZ77" s="945"/>
      <c r="JA77" s="945"/>
      <c r="JB77" s="945"/>
      <c r="JC77" s="945"/>
      <c r="JD77" s="945"/>
      <c r="JE77" s="945"/>
      <c r="JF77" s="945"/>
      <c r="JG77" s="945"/>
      <c r="JH77" s="945"/>
      <c r="JI77" s="945"/>
      <c r="JJ77" s="945"/>
      <c r="JK77" s="945"/>
      <c r="JL77" s="945"/>
      <c r="JM77" s="945"/>
      <c r="JN77" s="945"/>
      <c r="JO77" s="945"/>
      <c r="JP77" s="945"/>
      <c r="JQ77" s="945"/>
      <c r="JR77" s="945"/>
      <c r="JS77" s="945"/>
      <c r="JT77" s="945"/>
      <c r="JU77" s="945"/>
      <c r="JV77" s="945"/>
      <c r="JW77" s="945"/>
      <c r="JX77" s="945"/>
      <c r="JY77" s="945"/>
      <c r="JZ77" s="945"/>
      <c r="KA77" s="945"/>
      <c r="KB77" s="945"/>
      <c r="KC77" s="945"/>
      <c r="KD77" s="945"/>
      <c r="KE77" s="945"/>
      <c r="KF77" s="945"/>
      <c r="KG77" s="945"/>
      <c r="KH77" s="945"/>
      <c r="KI77" s="945"/>
      <c r="KJ77" s="945"/>
      <c r="KK77" s="945"/>
      <c r="KL77" s="945"/>
      <c r="KM77" s="945"/>
      <c r="KN77" s="945"/>
      <c r="KO77" s="945"/>
      <c r="KP77" s="945"/>
      <c r="KQ77" s="945"/>
      <c r="KR77" s="945"/>
      <c r="KS77" s="945"/>
      <c r="KT77" s="945"/>
      <c r="KU77" s="945"/>
      <c r="KV77" s="945"/>
      <c r="KW77" s="945"/>
      <c r="KX77" s="945"/>
      <c r="KY77" s="945"/>
      <c r="KZ77" s="945"/>
      <c r="LA77" s="945"/>
      <c r="LB77" s="945"/>
      <c r="LC77" s="945"/>
      <c r="LD77" s="945"/>
      <c r="LE77" s="945"/>
      <c r="LF77" s="945"/>
      <c r="LG77" s="945"/>
      <c r="LH77" s="945"/>
      <c r="LI77" s="945"/>
      <c r="LJ77" s="945"/>
      <c r="LK77" s="945"/>
      <c r="LL77" s="945"/>
      <c r="LM77" s="945"/>
      <c r="LN77" s="945"/>
      <c r="LO77" s="945"/>
      <c r="LP77" s="945"/>
      <c r="LQ77" s="945"/>
      <c r="LR77" s="945"/>
      <c r="LS77" s="945"/>
      <c r="LT77" s="945"/>
      <c r="LU77" s="945"/>
      <c r="LV77" s="945"/>
      <c r="LW77" s="945"/>
      <c r="LX77" s="945"/>
      <c r="LY77" s="945"/>
      <c r="LZ77" s="945"/>
      <c r="MA77" s="945"/>
      <c r="MB77" s="945"/>
      <c r="MC77" s="945"/>
      <c r="MD77" s="945"/>
      <c r="ME77" s="945"/>
      <c r="MF77" s="945"/>
      <c r="MG77" s="945"/>
      <c r="MH77" s="945"/>
      <c r="MI77" s="945"/>
      <c r="MJ77" s="945"/>
      <c r="MK77" s="945"/>
      <c r="ML77" s="945"/>
      <c r="MM77" s="945"/>
      <c r="MN77" s="945"/>
      <c r="MO77" s="945"/>
      <c r="MP77" s="945"/>
      <c r="MQ77" s="945"/>
      <c r="MR77" s="945"/>
      <c r="MS77" s="945"/>
      <c r="MT77" s="945"/>
      <c r="MU77" s="945"/>
      <c r="MV77" s="945"/>
      <c r="MW77" s="945"/>
      <c r="MX77" s="945"/>
      <c r="MY77" s="945"/>
      <c r="MZ77" s="945"/>
      <c r="NA77" s="945"/>
      <c r="NB77" s="945"/>
      <c r="NC77" s="945"/>
      <c r="ND77" s="945"/>
      <c r="NE77" s="945"/>
      <c r="NF77" s="945"/>
      <c r="NG77" s="945"/>
      <c r="NH77" s="945"/>
      <c r="NI77" s="945"/>
      <c r="NJ77" s="945"/>
      <c r="NK77" s="945"/>
      <c r="NL77" s="945"/>
      <c r="NM77" s="945"/>
      <c r="NN77" s="945"/>
      <c r="NO77" s="945"/>
      <c r="NP77" s="945"/>
      <c r="NQ77" s="945"/>
      <c r="NR77" s="945"/>
      <c r="NS77" s="945"/>
      <c r="NT77" s="945"/>
      <c r="NU77" s="945"/>
      <c r="NV77" s="945"/>
      <c r="NW77" s="945"/>
      <c r="NX77" s="945"/>
      <c r="NY77" s="945"/>
      <c r="NZ77" s="945"/>
      <c r="OA77" s="945"/>
      <c r="OB77" s="945"/>
      <c r="OC77" s="945"/>
      <c r="OD77" s="945"/>
      <c r="OE77" s="945"/>
      <c r="OF77" s="945"/>
      <c r="OG77" s="945"/>
      <c r="OH77" s="945"/>
      <c r="OI77" s="945"/>
      <c r="OJ77" s="945"/>
      <c r="OK77" s="945"/>
      <c r="OL77" s="945"/>
      <c r="OM77" s="945"/>
      <c r="ON77" s="945"/>
      <c r="OO77" s="945"/>
      <c r="OP77" s="945"/>
      <c r="OQ77" s="945"/>
      <c r="OR77" s="945"/>
      <c r="OS77" s="945"/>
      <c r="OT77" s="945"/>
      <c r="OU77" s="945"/>
      <c r="OV77" s="945"/>
      <c r="OW77" s="945"/>
      <c r="OX77" s="945"/>
      <c r="OY77" s="945"/>
      <c r="OZ77" s="945"/>
      <c r="PA77" s="945"/>
      <c r="PB77" s="945"/>
      <c r="PC77" s="945"/>
      <c r="PD77" s="945"/>
      <c r="PE77" s="945"/>
      <c r="PF77" s="945"/>
      <c r="PG77" s="945"/>
      <c r="PH77" s="945"/>
      <c r="PI77" s="945"/>
      <c r="PJ77" s="945"/>
      <c r="PK77" s="945"/>
      <c r="PL77" s="945"/>
      <c r="PM77" s="945"/>
      <c r="PN77" s="945"/>
      <c r="PO77" s="945"/>
      <c r="PP77" s="945"/>
      <c r="PQ77" s="945"/>
      <c r="PR77" s="945"/>
      <c r="PS77" s="945"/>
      <c r="PT77" s="945"/>
      <c r="PU77" s="945"/>
      <c r="PV77" s="945"/>
      <c r="PW77" s="945"/>
      <c r="PX77" s="945"/>
      <c r="PY77" s="945"/>
      <c r="PZ77" s="945"/>
      <c r="QA77" s="945"/>
      <c r="QB77" s="945"/>
      <c r="QC77" s="945"/>
      <c r="QD77" s="945"/>
      <c r="QE77" s="945"/>
      <c r="QF77" s="945"/>
      <c r="QG77" s="945"/>
      <c r="QH77" s="945"/>
      <c r="QI77" s="945"/>
      <c r="QJ77" s="945"/>
      <c r="QK77" s="945"/>
      <c r="QL77" s="945"/>
      <c r="QM77" s="945"/>
      <c r="QN77" s="945"/>
      <c r="QO77" s="945"/>
      <c r="QP77" s="945"/>
      <c r="QQ77" s="945"/>
      <c r="QR77" s="945"/>
      <c r="QS77" s="945"/>
      <c r="QT77" s="945"/>
      <c r="QU77" s="945"/>
      <c r="QV77" s="945"/>
      <c r="QW77" s="945"/>
      <c r="QX77" s="945"/>
      <c r="QY77" s="945"/>
      <c r="QZ77" s="945"/>
      <c r="RA77" s="945"/>
      <c r="RB77" s="945"/>
      <c r="RC77" s="945"/>
      <c r="RD77" s="945"/>
      <c r="RE77" s="945"/>
      <c r="RF77" s="945"/>
      <c r="RG77" s="945"/>
      <c r="RH77" s="945"/>
      <c r="RI77" s="945"/>
      <c r="RJ77" s="945"/>
      <c r="RK77" s="945"/>
      <c r="RL77" s="945"/>
      <c r="RM77" s="945"/>
      <c r="RN77" s="945"/>
      <c r="RO77" s="945"/>
      <c r="RP77" s="945"/>
      <c r="RQ77" s="945"/>
      <c r="RR77" s="945"/>
      <c r="RS77" s="945"/>
      <c r="RT77" s="945"/>
      <c r="RU77" s="945"/>
      <c r="RV77" s="945"/>
      <c r="RW77" s="945"/>
      <c r="RX77" s="945"/>
    </row>
    <row r="78" spans="1:492" s="165" customFormat="1">
      <c r="A78" s="945"/>
      <c r="B78" s="945"/>
      <c r="C78" s="945"/>
      <c r="D78" s="945"/>
      <c r="E78" s="945"/>
      <c r="F78" s="945"/>
      <c r="G78" s="945"/>
      <c r="H78" s="945"/>
      <c r="I78" s="945"/>
      <c r="J78" s="945"/>
      <c r="K78" s="945"/>
      <c r="L78" s="945"/>
      <c r="M78" s="945"/>
      <c r="N78" s="945"/>
      <c r="O78" s="945"/>
      <c r="P78" s="945"/>
      <c r="Q78" s="945"/>
      <c r="R78" s="945"/>
      <c r="S78" s="945"/>
      <c r="T78" s="945"/>
      <c r="U78" s="945"/>
      <c r="V78" s="945"/>
      <c r="W78" s="945"/>
      <c r="X78" s="945"/>
      <c r="Y78" s="945"/>
      <c r="Z78" s="945"/>
      <c r="AA78" s="945"/>
      <c r="AB78" s="945"/>
      <c r="AC78" s="945"/>
      <c r="AD78" s="945"/>
      <c r="AE78" s="945"/>
      <c r="AF78" s="945"/>
      <c r="AG78" s="945"/>
      <c r="AH78" s="945"/>
      <c r="AI78" s="945"/>
      <c r="AJ78" s="945"/>
      <c r="AK78" s="945"/>
      <c r="AL78" s="945"/>
      <c r="AM78" s="948"/>
      <c r="AN78" s="948"/>
      <c r="AO78" s="948"/>
      <c r="AP78" s="948"/>
      <c r="AQ78" s="948"/>
      <c r="AR78" s="948"/>
      <c r="AS78" s="948"/>
      <c r="AT78" s="948"/>
      <c r="AU78" s="948"/>
      <c r="AV78" s="948"/>
      <c r="AW78" s="948"/>
      <c r="AX78" s="948"/>
      <c r="AY78" s="948"/>
      <c r="AZ78" s="948"/>
      <c r="BA78" s="948"/>
      <c r="BB78" s="948"/>
      <c r="BC78" s="948"/>
      <c r="BD78" s="948"/>
      <c r="BE78" s="948"/>
      <c r="BF78" s="948"/>
      <c r="BG78" s="948"/>
      <c r="BH78" s="948"/>
      <c r="BI78" s="948"/>
      <c r="BJ78" s="948"/>
      <c r="BK78" s="948"/>
      <c r="BL78" s="948"/>
      <c r="BM78" s="948"/>
      <c r="BN78" s="948"/>
      <c r="BO78" s="948"/>
      <c r="BP78" s="948"/>
      <c r="BQ78" s="948"/>
      <c r="BR78" s="948"/>
      <c r="BS78" s="948"/>
      <c r="BT78" s="948"/>
      <c r="BU78" s="948"/>
      <c r="BV78" s="948"/>
      <c r="BW78" s="948"/>
      <c r="BX78" s="948"/>
      <c r="BY78" s="948"/>
      <c r="BZ78" s="948"/>
      <c r="CA78" s="945"/>
      <c r="CB78" s="945"/>
      <c r="CC78" s="945"/>
      <c r="CD78" s="945"/>
      <c r="CE78" s="945"/>
      <c r="CF78" s="945"/>
      <c r="CG78" s="945"/>
      <c r="CH78" s="945"/>
      <c r="CI78" s="945"/>
      <c r="CJ78" s="945"/>
      <c r="CK78" s="945"/>
      <c r="CL78" s="945"/>
      <c r="CM78" s="945"/>
      <c r="CN78" s="945"/>
      <c r="CO78" s="945"/>
      <c r="CP78" s="945"/>
      <c r="CQ78" s="945"/>
      <c r="CR78" s="945"/>
      <c r="CS78" s="945"/>
      <c r="CT78" s="945"/>
      <c r="CU78" s="945"/>
      <c r="CV78" s="945"/>
      <c r="CW78" s="945"/>
      <c r="CX78" s="945"/>
      <c r="CY78" s="945"/>
      <c r="CZ78" s="945"/>
      <c r="DA78" s="945"/>
      <c r="DB78" s="945"/>
      <c r="DC78" s="945"/>
      <c r="DD78" s="945"/>
      <c r="DE78" s="945"/>
      <c r="DF78" s="945"/>
      <c r="DG78" s="945"/>
      <c r="DH78" s="945"/>
      <c r="DI78" s="945"/>
      <c r="DJ78" s="945"/>
      <c r="DK78" s="945"/>
      <c r="DL78" s="945"/>
      <c r="DM78" s="945"/>
      <c r="DN78" s="945"/>
      <c r="DO78" s="945"/>
      <c r="DP78" s="945"/>
      <c r="DQ78" s="945"/>
      <c r="DR78" s="945"/>
      <c r="DS78" s="945"/>
      <c r="DT78" s="945"/>
      <c r="DU78" s="945"/>
      <c r="DV78" s="945"/>
      <c r="DW78" s="945"/>
      <c r="DX78" s="945"/>
      <c r="DY78" s="945"/>
      <c r="DZ78" s="945"/>
      <c r="EA78" s="945"/>
      <c r="EB78" s="945"/>
      <c r="EC78" s="945"/>
      <c r="ED78" s="945"/>
      <c r="EE78" s="945"/>
      <c r="EF78" s="945"/>
      <c r="EG78" s="945"/>
      <c r="EH78" s="945"/>
      <c r="EI78" s="945"/>
      <c r="EJ78" s="945"/>
      <c r="EK78" s="945"/>
      <c r="EL78" s="945"/>
      <c r="EM78" s="945"/>
      <c r="EN78" s="945"/>
      <c r="EO78" s="945"/>
      <c r="EP78" s="945"/>
      <c r="EQ78" s="945"/>
      <c r="ER78" s="945"/>
      <c r="ES78" s="945"/>
      <c r="ET78" s="945"/>
      <c r="EU78" s="945"/>
      <c r="EV78" s="945"/>
      <c r="EW78" s="945"/>
      <c r="EX78" s="945"/>
      <c r="EY78" s="945"/>
      <c r="EZ78" s="945"/>
      <c r="FA78" s="945"/>
      <c r="FB78" s="945"/>
      <c r="FC78" s="945"/>
      <c r="FD78" s="945"/>
      <c r="FE78" s="945"/>
      <c r="FF78" s="945"/>
      <c r="FG78" s="945"/>
      <c r="FH78" s="945"/>
      <c r="FI78" s="945"/>
      <c r="FJ78" s="945"/>
      <c r="FK78" s="945"/>
      <c r="FL78" s="945"/>
      <c r="FM78" s="945"/>
      <c r="FN78" s="945"/>
      <c r="FO78" s="945"/>
      <c r="FP78" s="945"/>
      <c r="FQ78" s="945"/>
      <c r="FR78" s="945"/>
      <c r="FS78" s="945"/>
      <c r="FT78" s="945"/>
      <c r="FU78" s="945"/>
      <c r="FV78" s="945"/>
      <c r="FW78" s="945"/>
      <c r="FX78" s="945"/>
      <c r="FY78" s="945"/>
      <c r="FZ78" s="945"/>
      <c r="GA78" s="945"/>
      <c r="GB78" s="945"/>
      <c r="GC78" s="945"/>
      <c r="GD78" s="945"/>
      <c r="GE78" s="945"/>
      <c r="GF78" s="945"/>
      <c r="GG78" s="945"/>
      <c r="GH78" s="945"/>
      <c r="GI78" s="945"/>
      <c r="GJ78" s="945"/>
      <c r="GK78" s="945"/>
      <c r="GL78" s="945"/>
      <c r="GM78" s="945"/>
      <c r="GN78" s="945"/>
      <c r="GO78" s="945"/>
      <c r="GP78" s="945"/>
      <c r="GQ78" s="945"/>
      <c r="GR78" s="945"/>
      <c r="GS78" s="945"/>
      <c r="GT78" s="945"/>
      <c r="GU78" s="945"/>
      <c r="GV78" s="945"/>
      <c r="GW78" s="945"/>
      <c r="GX78" s="945"/>
      <c r="GY78" s="945"/>
      <c r="GZ78" s="945"/>
      <c r="HA78" s="945"/>
      <c r="HB78" s="945"/>
      <c r="HC78" s="945"/>
      <c r="HD78" s="945"/>
      <c r="HE78" s="945"/>
      <c r="HF78" s="945"/>
      <c r="HG78" s="945"/>
      <c r="HH78" s="945"/>
      <c r="HI78" s="945"/>
      <c r="HJ78" s="945"/>
      <c r="HK78" s="945"/>
      <c r="HL78" s="945"/>
      <c r="HM78" s="945"/>
      <c r="HN78" s="945"/>
      <c r="HO78" s="945"/>
      <c r="HP78" s="945"/>
      <c r="HQ78" s="945"/>
      <c r="HR78" s="945"/>
      <c r="HS78" s="945"/>
      <c r="HT78" s="945"/>
      <c r="HU78" s="945"/>
      <c r="HV78" s="945"/>
      <c r="HW78" s="945"/>
      <c r="HX78" s="945"/>
      <c r="HY78" s="945"/>
      <c r="HZ78" s="945"/>
      <c r="IA78" s="945"/>
      <c r="IB78" s="945"/>
      <c r="IC78" s="945"/>
      <c r="ID78" s="945"/>
      <c r="IE78" s="945"/>
      <c r="IF78" s="945"/>
      <c r="IG78" s="945"/>
      <c r="IH78" s="945"/>
      <c r="II78" s="945"/>
      <c r="IJ78" s="945"/>
      <c r="IK78" s="945"/>
      <c r="IL78" s="945"/>
      <c r="IM78" s="945"/>
      <c r="IN78" s="945"/>
      <c r="IO78" s="945"/>
      <c r="IP78" s="945"/>
      <c r="IQ78" s="945"/>
      <c r="IR78" s="945"/>
      <c r="IS78" s="945"/>
      <c r="IT78" s="945"/>
      <c r="IU78" s="945"/>
      <c r="IV78" s="945"/>
      <c r="IW78" s="945"/>
      <c r="IX78" s="945"/>
      <c r="IY78" s="945"/>
      <c r="IZ78" s="945"/>
      <c r="JA78" s="945"/>
      <c r="JB78" s="945"/>
      <c r="JC78" s="945"/>
      <c r="JD78" s="945"/>
      <c r="JE78" s="945"/>
      <c r="JF78" s="945"/>
      <c r="JG78" s="945"/>
      <c r="JH78" s="945"/>
      <c r="JI78" s="945"/>
      <c r="JJ78" s="945"/>
      <c r="JK78" s="945"/>
      <c r="JL78" s="945"/>
      <c r="JM78" s="945"/>
      <c r="JN78" s="945"/>
      <c r="JO78" s="945"/>
      <c r="JP78" s="945"/>
      <c r="JQ78" s="945"/>
      <c r="JR78" s="945"/>
      <c r="JS78" s="945"/>
      <c r="JT78" s="945"/>
      <c r="JU78" s="945"/>
      <c r="JV78" s="945"/>
      <c r="JW78" s="945"/>
      <c r="JX78" s="945"/>
      <c r="JY78" s="945"/>
      <c r="JZ78" s="945"/>
      <c r="KA78" s="945"/>
      <c r="KB78" s="945"/>
      <c r="KC78" s="945"/>
      <c r="KD78" s="945"/>
      <c r="KE78" s="945"/>
      <c r="KF78" s="945"/>
      <c r="KG78" s="945"/>
      <c r="KH78" s="945"/>
      <c r="KI78" s="945"/>
      <c r="KJ78" s="945"/>
      <c r="KK78" s="945"/>
      <c r="KL78" s="945"/>
      <c r="KM78" s="945"/>
      <c r="KN78" s="945"/>
      <c r="KO78" s="945"/>
      <c r="KP78" s="945"/>
      <c r="KQ78" s="945"/>
      <c r="KR78" s="945"/>
      <c r="KS78" s="945"/>
      <c r="KT78" s="945"/>
      <c r="KU78" s="945"/>
      <c r="KV78" s="945"/>
      <c r="KW78" s="945"/>
      <c r="KX78" s="945"/>
      <c r="KY78" s="945"/>
      <c r="KZ78" s="945"/>
      <c r="LA78" s="945"/>
      <c r="LB78" s="945"/>
      <c r="LC78" s="945"/>
      <c r="LD78" s="945"/>
      <c r="LE78" s="945"/>
      <c r="LF78" s="945"/>
      <c r="LG78" s="945"/>
      <c r="LH78" s="945"/>
      <c r="LI78" s="945"/>
      <c r="LJ78" s="945"/>
      <c r="LK78" s="945"/>
      <c r="LL78" s="945"/>
      <c r="LM78" s="945"/>
      <c r="LN78" s="945"/>
      <c r="LO78" s="945"/>
      <c r="LP78" s="945"/>
      <c r="LQ78" s="945"/>
      <c r="LR78" s="945"/>
      <c r="LS78" s="945"/>
      <c r="LT78" s="945"/>
      <c r="LU78" s="945"/>
      <c r="LV78" s="945"/>
      <c r="LW78" s="945"/>
      <c r="LX78" s="945"/>
      <c r="LY78" s="945"/>
      <c r="LZ78" s="945"/>
      <c r="MA78" s="945"/>
      <c r="MB78" s="945"/>
      <c r="MC78" s="945"/>
      <c r="MD78" s="945"/>
      <c r="ME78" s="945"/>
      <c r="MF78" s="945"/>
      <c r="MG78" s="945"/>
      <c r="MH78" s="945"/>
      <c r="MI78" s="945"/>
      <c r="MJ78" s="945"/>
      <c r="MK78" s="945"/>
      <c r="ML78" s="945"/>
      <c r="MM78" s="945"/>
      <c r="MN78" s="945"/>
      <c r="MO78" s="945"/>
      <c r="MP78" s="945"/>
      <c r="MQ78" s="945"/>
      <c r="MR78" s="945"/>
      <c r="MS78" s="945"/>
      <c r="MT78" s="945"/>
      <c r="MU78" s="945"/>
      <c r="MV78" s="945"/>
      <c r="MW78" s="945"/>
      <c r="MX78" s="945"/>
      <c r="MY78" s="945"/>
      <c r="MZ78" s="945"/>
      <c r="NA78" s="945"/>
      <c r="NB78" s="945"/>
      <c r="NC78" s="945"/>
      <c r="ND78" s="945"/>
      <c r="NE78" s="945"/>
      <c r="NF78" s="945"/>
      <c r="NG78" s="945"/>
      <c r="NH78" s="945"/>
      <c r="NI78" s="945"/>
      <c r="NJ78" s="945"/>
      <c r="NK78" s="945"/>
      <c r="NL78" s="945"/>
      <c r="NM78" s="945"/>
      <c r="NN78" s="945"/>
      <c r="NO78" s="945"/>
      <c r="NP78" s="945"/>
      <c r="NQ78" s="945"/>
      <c r="NR78" s="945"/>
      <c r="NS78" s="945"/>
      <c r="NT78" s="945"/>
      <c r="NU78" s="945"/>
      <c r="NV78" s="945"/>
      <c r="NW78" s="945"/>
      <c r="NX78" s="945"/>
      <c r="NY78" s="945"/>
      <c r="NZ78" s="945"/>
      <c r="OA78" s="945"/>
      <c r="OB78" s="945"/>
      <c r="OC78" s="945"/>
      <c r="OD78" s="945"/>
      <c r="OE78" s="945"/>
      <c r="OF78" s="945"/>
      <c r="OG78" s="945"/>
      <c r="OH78" s="945"/>
      <c r="OI78" s="945"/>
      <c r="OJ78" s="945"/>
      <c r="OK78" s="945"/>
      <c r="OL78" s="945"/>
      <c r="OM78" s="945"/>
      <c r="ON78" s="945"/>
      <c r="OO78" s="945"/>
      <c r="OP78" s="945"/>
      <c r="OQ78" s="945"/>
      <c r="OR78" s="945"/>
      <c r="OS78" s="945"/>
      <c r="OT78" s="945"/>
      <c r="OU78" s="945"/>
      <c r="OV78" s="945"/>
      <c r="OW78" s="945"/>
      <c r="OX78" s="945"/>
      <c r="OY78" s="945"/>
      <c r="OZ78" s="945"/>
      <c r="PA78" s="945"/>
      <c r="PB78" s="945"/>
      <c r="PC78" s="945"/>
      <c r="PD78" s="945"/>
      <c r="PE78" s="945"/>
      <c r="PF78" s="945"/>
      <c r="PG78" s="945"/>
      <c r="PH78" s="945"/>
      <c r="PI78" s="945"/>
      <c r="PJ78" s="945"/>
      <c r="PK78" s="945"/>
      <c r="PL78" s="945"/>
      <c r="PM78" s="945"/>
      <c r="PN78" s="945"/>
      <c r="PO78" s="945"/>
      <c r="PP78" s="945"/>
      <c r="PQ78" s="945"/>
      <c r="PR78" s="945"/>
      <c r="PS78" s="945"/>
      <c r="PT78" s="945"/>
      <c r="PU78" s="945"/>
      <c r="PV78" s="945"/>
      <c r="PW78" s="945"/>
      <c r="PX78" s="945"/>
      <c r="PY78" s="945"/>
      <c r="PZ78" s="945"/>
      <c r="QA78" s="945"/>
      <c r="QB78" s="945"/>
      <c r="QC78" s="945"/>
      <c r="QD78" s="945"/>
      <c r="QE78" s="945"/>
      <c r="QF78" s="945"/>
      <c r="QG78" s="945"/>
      <c r="QH78" s="945"/>
      <c r="QI78" s="945"/>
      <c r="QJ78" s="945"/>
      <c r="QK78" s="945"/>
      <c r="QL78" s="945"/>
      <c r="QM78" s="945"/>
      <c r="QN78" s="945"/>
      <c r="QO78" s="945"/>
      <c r="QP78" s="945"/>
      <c r="QQ78" s="945"/>
      <c r="QR78" s="945"/>
      <c r="QS78" s="945"/>
      <c r="QT78" s="945"/>
      <c r="QU78" s="945"/>
      <c r="QV78" s="945"/>
      <c r="QW78" s="945"/>
      <c r="QX78" s="945"/>
      <c r="QY78" s="945"/>
      <c r="QZ78" s="945"/>
      <c r="RA78" s="945"/>
      <c r="RB78" s="945"/>
      <c r="RC78" s="945"/>
      <c r="RD78" s="945"/>
      <c r="RE78" s="945"/>
      <c r="RF78" s="945"/>
      <c r="RG78" s="945"/>
      <c r="RH78" s="945"/>
      <c r="RI78" s="945"/>
      <c r="RJ78" s="945"/>
      <c r="RK78" s="945"/>
      <c r="RL78" s="945"/>
      <c r="RM78" s="945"/>
      <c r="RN78" s="945"/>
      <c r="RO78" s="945"/>
      <c r="RP78" s="945"/>
      <c r="RQ78" s="945"/>
      <c r="RR78" s="945"/>
      <c r="RS78" s="945"/>
      <c r="RT78" s="945"/>
      <c r="RU78" s="945"/>
      <c r="RV78" s="945"/>
      <c r="RW78" s="945"/>
      <c r="RX78" s="945"/>
    </row>
    <row r="79" spans="1:492" s="165" customFormat="1">
      <c r="A79" s="945"/>
      <c r="B79" s="945"/>
      <c r="C79" s="945"/>
      <c r="D79" s="945"/>
      <c r="E79" s="945"/>
      <c r="F79" s="945"/>
      <c r="G79" s="945"/>
      <c r="H79" s="945"/>
      <c r="I79" s="945"/>
      <c r="J79" s="945"/>
      <c r="K79" s="945"/>
      <c r="L79" s="945"/>
      <c r="M79" s="945"/>
      <c r="N79" s="945"/>
      <c r="O79" s="945"/>
      <c r="P79" s="945"/>
      <c r="Q79" s="945"/>
      <c r="R79" s="945"/>
      <c r="S79" s="945"/>
      <c r="T79" s="945"/>
      <c r="U79" s="945"/>
      <c r="V79" s="945"/>
      <c r="W79" s="945"/>
      <c r="X79" s="945"/>
      <c r="Y79" s="945"/>
      <c r="Z79" s="945"/>
      <c r="AA79" s="945"/>
      <c r="AB79" s="945"/>
      <c r="AC79" s="945"/>
      <c r="AD79" s="945"/>
      <c r="AE79" s="945"/>
      <c r="AF79" s="945"/>
      <c r="AG79" s="945"/>
      <c r="AH79" s="945"/>
      <c r="AI79" s="945"/>
      <c r="AJ79" s="945"/>
      <c r="AK79" s="945"/>
      <c r="AL79" s="945"/>
      <c r="AM79" s="948"/>
      <c r="AN79" s="948"/>
      <c r="AO79" s="948"/>
      <c r="AP79" s="948"/>
      <c r="AQ79" s="948"/>
      <c r="AR79" s="948"/>
      <c r="AS79" s="948"/>
      <c r="AT79" s="948"/>
      <c r="AU79" s="948"/>
      <c r="AV79" s="948"/>
      <c r="AW79" s="948"/>
      <c r="AX79" s="948"/>
      <c r="AY79" s="948"/>
      <c r="AZ79" s="948"/>
      <c r="BA79" s="948"/>
      <c r="BB79" s="948"/>
      <c r="BC79" s="948"/>
      <c r="BD79" s="948"/>
      <c r="BE79" s="948"/>
      <c r="BF79" s="948"/>
      <c r="BG79" s="948"/>
      <c r="BH79" s="948"/>
      <c r="BI79" s="948"/>
      <c r="BJ79" s="948"/>
      <c r="BK79" s="948"/>
      <c r="BL79" s="948"/>
      <c r="BM79" s="948"/>
      <c r="BN79" s="948"/>
      <c r="BO79" s="948"/>
      <c r="BP79" s="948"/>
      <c r="BQ79" s="948"/>
      <c r="BR79" s="948"/>
      <c r="BS79" s="948"/>
      <c r="BT79" s="948"/>
      <c r="BU79" s="948"/>
      <c r="BV79" s="948"/>
      <c r="BW79" s="948"/>
      <c r="BX79" s="948"/>
      <c r="BY79" s="948"/>
      <c r="BZ79" s="948"/>
      <c r="CA79" s="945"/>
      <c r="CB79" s="945"/>
      <c r="CC79" s="945"/>
      <c r="CD79" s="945"/>
      <c r="CE79" s="945"/>
      <c r="CF79" s="945"/>
      <c r="CG79" s="945"/>
      <c r="CH79" s="945"/>
      <c r="CI79" s="945"/>
      <c r="CJ79" s="945"/>
      <c r="CK79" s="945"/>
      <c r="CL79" s="945"/>
      <c r="CM79" s="945"/>
      <c r="CN79" s="945"/>
      <c r="CO79" s="945"/>
      <c r="CP79" s="945"/>
      <c r="CQ79" s="945"/>
      <c r="CR79" s="945"/>
      <c r="CS79" s="945"/>
      <c r="CT79" s="945"/>
      <c r="CU79" s="945"/>
      <c r="CV79" s="945"/>
      <c r="CW79" s="945"/>
      <c r="CX79" s="945"/>
      <c r="CY79" s="945"/>
      <c r="CZ79" s="945"/>
      <c r="DA79" s="945"/>
      <c r="DB79" s="945"/>
      <c r="DC79" s="945"/>
      <c r="DD79" s="945"/>
      <c r="DE79" s="945"/>
      <c r="DF79" s="945"/>
      <c r="DG79" s="945"/>
      <c r="DH79" s="945"/>
      <c r="DI79" s="945"/>
      <c r="DJ79" s="945"/>
      <c r="DK79" s="945"/>
      <c r="DL79" s="945"/>
      <c r="DM79" s="945"/>
      <c r="DN79" s="945"/>
      <c r="DO79" s="945"/>
      <c r="DP79" s="945"/>
      <c r="DQ79" s="945"/>
      <c r="DR79" s="945"/>
      <c r="DS79" s="945"/>
      <c r="DT79" s="945"/>
      <c r="DU79" s="945"/>
      <c r="DV79" s="945"/>
      <c r="DW79" s="945"/>
      <c r="DX79" s="945"/>
      <c r="DY79" s="945"/>
      <c r="DZ79" s="945"/>
      <c r="EA79" s="945"/>
      <c r="EB79" s="945"/>
      <c r="EC79" s="945"/>
      <c r="ED79" s="945"/>
      <c r="EE79" s="945"/>
      <c r="EF79" s="945"/>
      <c r="EG79" s="945"/>
      <c r="EH79" s="945"/>
      <c r="EI79" s="945"/>
      <c r="EJ79" s="945"/>
      <c r="EK79" s="945"/>
      <c r="EL79" s="945"/>
      <c r="EM79" s="945"/>
      <c r="EN79" s="945"/>
      <c r="EO79" s="945"/>
      <c r="EP79" s="945"/>
      <c r="EQ79" s="945"/>
      <c r="ER79" s="945"/>
      <c r="ES79" s="945"/>
      <c r="ET79" s="945"/>
      <c r="EU79" s="945"/>
      <c r="EV79" s="945"/>
      <c r="EW79" s="945"/>
      <c r="EX79" s="945"/>
      <c r="EY79" s="945"/>
      <c r="EZ79" s="945"/>
      <c r="FA79" s="945"/>
      <c r="FB79" s="945"/>
      <c r="FC79" s="945"/>
      <c r="FD79" s="945"/>
      <c r="FE79" s="945"/>
      <c r="FF79" s="945"/>
      <c r="FG79" s="945"/>
      <c r="FH79" s="945"/>
      <c r="FI79" s="945"/>
      <c r="FJ79" s="945"/>
      <c r="FK79" s="945"/>
      <c r="FL79" s="945"/>
      <c r="FM79" s="945"/>
      <c r="FN79" s="945"/>
      <c r="FO79" s="945"/>
      <c r="FP79" s="945"/>
      <c r="FQ79" s="945"/>
      <c r="FR79" s="945"/>
      <c r="FS79" s="945"/>
      <c r="FT79" s="945"/>
      <c r="FU79" s="945"/>
      <c r="FV79" s="945"/>
      <c r="FW79" s="945"/>
      <c r="FX79" s="945"/>
      <c r="FY79" s="945"/>
      <c r="FZ79" s="945"/>
      <c r="GA79" s="945"/>
      <c r="GB79" s="945"/>
      <c r="GC79" s="945"/>
      <c r="GD79" s="945"/>
      <c r="GE79" s="945"/>
      <c r="GF79" s="945"/>
      <c r="GG79" s="945"/>
      <c r="GH79" s="945"/>
      <c r="GI79" s="945"/>
      <c r="GJ79" s="945"/>
      <c r="GK79" s="945"/>
      <c r="GL79" s="945"/>
      <c r="GM79" s="945"/>
      <c r="GN79" s="945"/>
      <c r="GO79" s="945"/>
      <c r="GP79" s="945"/>
      <c r="GQ79" s="945"/>
      <c r="GR79" s="945"/>
      <c r="GS79" s="945"/>
      <c r="GT79" s="945"/>
      <c r="GU79" s="945"/>
      <c r="GV79" s="945"/>
      <c r="GW79" s="945"/>
      <c r="GX79" s="945"/>
      <c r="GY79" s="945"/>
      <c r="GZ79" s="945"/>
      <c r="HA79" s="945"/>
      <c r="HB79" s="945"/>
      <c r="HC79" s="945"/>
      <c r="HD79" s="945"/>
      <c r="HE79" s="945"/>
      <c r="HF79" s="945"/>
      <c r="HG79" s="945"/>
      <c r="HH79" s="945"/>
      <c r="HI79" s="945"/>
      <c r="HJ79" s="945"/>
      <c r="HK79" s="945"/>
      <c r="HL79" s="945"/>
      <c r="HM79" s="945"/>
      <c r="HN79" s="945"/>
      <c r="HO79" s="945"/>
      <c r="HP79" s="945"/>
      <c r="HQ79" s="945"/>
      <c r="HR79" s="945"/>
      <c r="HS79" s="945"/>
      <c r="HT79" s="945"/>
      <c r="HU79" s="945"/>
      <c r="HV79" s="945"/>
      <c r="HW79" s="945"/>
      <c r="HX79" s="945"/>
      <c r="HY79" s="945"/>
      <c r="HZ79" s="945"/>
      <c r="IA79" s="945"/>
      <c r="IB79" s="945"/>
      <c r="IC79" s="945"/>
      <c r="ID79" s="945"/>
      <c r="IE79" s="945"/>
      <c r="IF79" s="945"/>
      <c r="IG79" s="945"/>
      <c r="IH79" s="945"/>
      <c r="II79" s="945"/>
      <c r="IJ79" s="945"/>
      <c r="IK79" s="945"/>
      <c r="IL79" s="945"/>
      <c r="IM79" s="945"/>
      <c r="IN79" s="945"/>
      <c r="IO79" s="945"/>
      <c r="IP79" s="945"/>
      <c r="IQ79" s="945"/>
      <c r="IR79" s="945"/>
      <c r="IS79" s="945"/>
      <c r="IT79" s="945"/>
      <c r="IU79" s="945"/>
      <c r="IV79" s="945"/>
      <c r="IW79" s="945"/>
      <c r="IX79" s="945"/>
      <c r="IY79" s="945"/>
      <c r="IZ79" s="945"/>
      <c r="JA79" s="945"/>
      <c r="JB79" s="945"/>
      <c r="JC79" s="945"/>
      <c r="JD79" s="945"/>
      <c r="JE79" s="945"/>
      <c r="JF79" s="945"/>
      <c r="JG79" s="945"/>
      <c r="JH79" s="945"/>
      <c r="JI79" s="945"/>
      <c r="JJ79" s="945"/>
      <c r="JK79" s="945"/>
      <c r="JL79" s="945"/>
      <c r="JM79" s="945"/>
      <c r="JN79" s="945"/>
      <c r="JO79" s="945"/>
      <c r="JP79" s="945"/>
      <c r="JQ79" s="945"/>
      <c r="JR79" s="945"/>
      <c r="JS79" s="945"/>
      <c r="JT79" s="945"/>
      <c r="JU79" s="945"/>
      <c r="JV79" s="945"/>
      <c r="JW79" s="945"/>
      <c r="JX79" s="945"/>
      <c r="JY79" s="945"/>
      <c r="JZ79" s="945"/>
      <c r="KA79" s="945"/>
      <c r="KB79" s="945"/>
      <c r="KC79" s="945"/>
      <c r="KD79" s="945"/>
      <c r="KE79" s="945"/>
      <c r="KF79" s="945"/>
      <c r="KG79" s="945"/>
      <c r="KH79" s="945"/>
      <c r="KI79" s="945"/>
      <c r="KJ79" s="945"/>
      <c r="KK79" s="945"/>
      <c r="KL79" s="945"/>
      <c r="KM79" s="945"/>
      <c r="KN79" s="945"/>
      <c r="KO79" s="945"/>
      <c r="KP79" s="945"/>
      <c r="KQ79" s="945"/>
      <c r="KR79" s="945"/>
      <c r="KS79" s="945"/>
      <c r="KT79" s="945"/>
      <c r="KU79" s="945"/>
      <c r="KV79" s="945"/>
      <c r="KW79" s="945"/>
      <c r="KX79" s="945"/>
      <c r="KY79" s="945"/>
      <c r="KZ79" s="945"/>
      <c r="LA79" s="945"/>
      <c r="LB79" s="945"/>
      <c r="LC79" s="945"/>
      <c r="LD79" s="945"/>
      <c r="LE79" s="945"/>
      <c r="LF79" s="945"/>
      <c r="LG79" s="945"/>
      <c r="LH79" s="945"/>
      <c r="LI79" s="945"/>
      <c r="LJ79" s="945"/>
      <c r="LK79" s="945"/>
      <c r="LL79" s="945"/>
      <c r="LM79" s="945"/>
      <c r="LN79" s="945"/>
      <c r="LO79" s="945"/>
      <c r="LP79" s="945"/>
      <c r="LQ79" s="945"/>
      <c r="LR79" s="945"/>
      <c r="LS79" s="945"/>
      <c r="LT79" s="945"/>
      <c r="LU79" s="945"/>
      <c r="LV79" s="945"/>
      <c r="LW79" s="945"/>
      <c r="LX79" s="945"/>
      <c r="LY79" s="945"/>
      <c r="LZ79" s="945"/>
      <c r="MA79" s="945"/>
      <c r="MB79" s="945"/>
      <c r="MC79" s="945"/>
      <c r="MD79" s="945"/>
      <c r="ME79" s="945"/>
      <c r="MF79" s="945"/>
      <c r="MG79" s="945"/>
      <c r="MH79" s="945"/>
      <c r="MI79" s="945"/>
      <c r="MJ79" s="945"/>
      <c r="MK79" s="945"/>
      <c r="ML79" s="945"/>
      <c r="MM79" s="945"/>
      <c r="MN79" s="945"/>
      <c r="MO79" s="945"/>
      <c r="MP79" s="945"/>
      <c r="MQ79" s="945"/>
      <c r="MR79" s="945"/>
      <c r="MS79" s="945"/>
      <c r="MT79" s="945"/>
      <c r="MU79" s="945"/>
      <c r="MV79" s="945"/>
      <c r="MW79" s="945"/>
      <c r="MX79" s="945"/>
      <c r="MY79" s="945"/>
      <c r="MZ79" s="945"/>
      <c r="NA79" s="945"/>
      <c r="NB79" s="945"/>
      <c r="NC79" s="945"/>
      <c r="ND79" s="945"/>
      <c r="NE79" s="945"/>
      <c r="NF79" s="945"/>
      <c r="NG79" s="945"/>
      <c r="NH79" s="945"/>
      <c r="NI79" s="945"/>
      <c r="NJ79" s="945"/>
      <c r="NK79" s="945"/>
      <c r="NL79" s="945"/>
      <c r="NM79" s="945"/>
      <c r="NN79" s="945"/>
      <c r="NO79" s="945"/>
      <c r="NP79" s="945"/>
      <c r="NQ79" s="945"/>
      <c r="NR79" s="945"/>
      <c r="NS79" s="945"/>
      <c r="NT79" s="945"/>
      <c r="NU79" s="945"/>
      <c r="NV79" s="945"/>
      <c r="NW79" s="945"/>
      <c r="NX79" s="945"/>
      <c r="NY79" s="945"/>
      <c r="NZ79" s="945"/>
      <c r="OA79" s="945"/>
      <c r="OB79" s="945"/>
      <c r="OC79" s="945"/>
      <c r="OD79" s="945"/>
      <c r="OE79" s="945"/>
      <c r="OF79" s="945"/>
      <c r="OG79" s="945"/>
      <c r="OH79" s="945"/>
      <c r="OI79" s="945"/>
      <c r="OJ79" s="945"/>
      <c r="OK79" s="945"/>
      <c r="OL79" s="945"/>
      <c r="OM79" s="945"/>
      <c r="ON79" s="945"/>
      <c r="OO79" s="945"/>
      <c r="OP79" s="945"/>
      <c r="OQ79" s="945"/>
      <c r="OR79" s="945"/>
      <c r="OS79" s="945"/>
      <c r="OT79" s="945"/>
      <c r="OU79" s="945"/>
      <c r="OV79" s="945"/>
      <c r="OW79" s="945"/>
      <c r="OX79" s="945"/>
      <c r="OY79" s="945"/>
      <c r="OZ79" s="945"/>
      <c r="PA79" s="945"/>
      <c r="PB79" s="945"/>
      <c r="PC79" s="945"/>
      <c r="PD79" s="945"/>
      <c r="PE79" s="945"/>
      <c r="PF79" s="945"/>
      <c r="PG79" s="945"/>
      <c r="PH79" s="945"/>
      <c r="PI79" s="945"/>
      <c r="PJ79" s="945"/>
      <c r="PK79" s="945"/>
      <c r="PL79" s="945"/>
      <c r="PM79" s="945"/>
      <c r="PN79" s="945"/>
      <c r="PO79" s="945"/>
      <c r="PP79" s="945"/>
      <c r="PQ79" s="945"/>
      <c r="PR79" s="945"/>
      <c r="PS79" s="945"/>
      <c r="PT79" s="945"/>
      <c r="PU79" s="945"/>
      <c r="PV79" s="945"/>
      <c r="PW79" s="945"/>
      <c r="PX79" s="945"/>
      <c r="PY79" s="945"/>
      <c r="PZ79" s="945"/>
      <c r="QA79" s="945"/>
      <c r="QB79" s="945"/>
      <c r="QC79" s="945"/>
      <c r="QD79" s="945"/>
      <c r="QE79" s="945"/>
      <c r="QF79" s="945"/>
      <c r="QG79" s="945"/>
      <c r="QH79" s="945"/>
      <c r="QI79" s="945"/>
      <c r="QJ79" s="945"/>
      <c r="QK79" s="945"/>
      <c r="QL79" s="945"/>
      <c r="QM79" s="945"/>
      <c r="QN79" s="945"/>
      <c r="QO79" s="945"/>
      <c r="QP79" s="945"/>
      <c r="QQ79" s="945"/>
      <c r="QR79" s="945"/>
      <c r="QS79" s="945"/>
      <c r="QT79" s="945"/>
      <c r="QU79" s="945"/>
      <c r="QV79" s="945"/>
      <c r="QW79" s="945"/>
      <c r="QX79" s="945"/>
      <c r="QY79" s="945"/>
      <c r="QZ79" s="945"/>
      <c r="RA79" s="945"/>
      <c r="RB79" s="945"/>
      <c r="RC79" s="945"/>
      <c r="RD79" s="945"/>
      <c r="RE79" s="945"/>
      <c r="RF79" s="945"/>
      <c r="RG79" s="945"/>
      <c r="RH79" s="945"/>
      <c r="RI79" s="945"/>
      <c r="RJ79" s="945"/>
      <c r="RK79" s="945"/>
      <c r="RL79" s="945"/>
      <c r="RM79" s="945"/>
      <c r="RN79" s="945"/>
      <c r="RO79" s="945"/>
      <c r="RP79" s="945"/>
      <c r="RQ79" s="945"/>
      <c r="RR79" s="945"/>
      <c r="RS79" s="945"/>
      <c r="RT79" s="945"/>
      <c r="RU79" s="945"/>
      <c r="RV79" s="945"/>
      <c r="RW79" s="945"/>
      <c r="RX79" s="945"/>
    </row>
    <row r="80" spans="1:492" s="165" customFormat="1">
      <c r="A80" s="945"/>
      <c r="B80" s="945"/>
      <c r="C80" s="945"/>
      <c r="D80" s="945"/>
      <c r="E80" s="945"/>
      <c r="F80" s="945"/>
      <c r="G80" s="945"/>
      <c r="H80" s="945"/>
      <c r="I80" s="945"/>
      <c r="J80" s="945"/>
      <c r="K80" s="945"/>
      <c r="L80" s="945"/>
      <c r="M80" s="945"/>
      <c r="N80" s="945"/>
      <c r="O80" s="945"/>
      <c r="P80" s="945"/>
      <c r="Q80" s="945"/>
      <c r="R80" s="945"/>
      <c r="S80" s="945"/>
      <c r="T80" s="945"/>
      <c r="U80" s="945"/>
      <c r="V80" s="945"/>
      <c r="W80" s="945"/>
      <c r="X80" s="945"/>
      <c r="Y80" s="945"/>
      <c r="Z80" s="945"/>
      <c r="AA80" s="945"/>
      <c r="AB80" s="945"/>
      <c r="AC80" s="945"/>
      <c r="AD80" s="945"/>
      <c r="AE80" s="945"/>
      <c r="AF80" s="945"/>
      <c r="AG80" s="945"/>
      <c r="AH80" s="945"/>
      <c r="AI80" s="945"/>
      <c r="AJ80" s="945"/>
      <c r="AK80" s="945"/>
      <c r="AL80" s="945"/>
      <c r="AM80" s="948"/>
      <c r="AN80" s="948"/>
      <c r="AO80" s="948"/>
      <c r="AP80" s="948"/>
      <c r="AQ80" s="948"/>
      <c r="AR80" s="948"/>
      <c r="AS80" s="948"/>
      <c r="AT80" s="948"/>
      <c r="AU80" s="948"/>
      <c r="AV80" s="948"/>
      <c r="AW80" s="948"/>
      <c r="AX80" s="948"/>
      <c r="AY80" s="948"/>
      <c r="AZ80" s="948"/>
      <c r="BA80" s="948"/>
      <c r="BB80" s="948"/>
      <c r="BC80" s="948"/>
      <c r="BD80" s="948"/>
      <c r="BE80" s="948"/>
      <c r="BF80" s="948"/>
      <c r="BG80" s="948"/>
      <c r="BH80" s="948"/>
      <c r="BI80" s="948"/>
      <c r="BJ80" s="948"/>
      <c r="BK80" s="948"/>
      <c r="BL80" s="948"/>
      <c r="BM80" s="948"/>
      <c r="BN80" s="948"/>
      <c r="BO80" s="948"/>
      <c r="BP80" s="948"/>
      <c r="BQ80" s="948"/>
      <c r="BR80" s="948"/>
      <c r="BS80" s="948"/>
      <c r="BT80" s="948"/>
      <c r="BU80" s="948"/>
      <c r="BV80" s="948"/>
      <c r="BW80" s="948"/>
      <c r="BX80" s="948"/>
      <c r="BY80" s="948"/>
      <c r="BZ80" s="948"/>
      <c r="CA80" s="945"/>
      <c r="CB80" s="945"/>
      <c r="CC80" s="945"/>
      <c r="CD80" s="945"/>
      <c r="CE80" s="945"/>
      <c r="CF80" s="945"/>
      <c r="CG80" s="945"/>
      <c r="CH80" s="945"/>
      <c r="CI80" s="945"/>
      <c r="CJ80" s="945"/>
      <c r="CK80" s="945"/>
      <c r="CL80" s="945"/>
      <c r="CM80" s="945"/>
      <c r="CN80" s="945"/>
      <c r="CO80" s="945"/>
      <c r="CP80" s="945"/>
      <c r="CQ80" s="945"/>
      <c r="CR80" s="945"/>
      <c r="CS80" s="945"/>
      <c r="CT80" s="945"/>
      <c r="CU80" s="945"/>
      <c r="CV80" s="945"/>
      <c r="CW80" s="945"/>
      <c r="CX80" s="945"/>
      <c r="CY80" s="945"/>
      <c r="CZ80" s="945"/>
      <c r="DA80" s="945"/>
      <c r="DB80" s="945"/>
      <c r="DC80" s="945"/>
      <c r="DD80" s="945"/>
      <c r="DE80" s="945"/>
      <c r="DF80" s="945"/>
      <c r="DG80" s="945"/>
      <c r="DH80" s="945"/>
      <c r="DI80" s="945"/>
      <c r="DJ80" s="945"/>
      <c r="DK80" s="945"/>
      <c r="DL80" s="945"/>
      <c r="DM80" s="945"/>
      <c r="DN80" s="945"/>
      <c r="DO80" s="945"/>
      <c r="DP80" s="945"/>
      <c r="DQ80" s="945"/>
      <c r="DR80" s="945"/>
      <c r="DS80" s="945"/>
      <c r="DT80" s="945"/>
      <c r="DU80" s="945"/>
      <c r="DV80" s="945"/>
      <c r="DW80" s="945"/>
      <c r="DX80" s="945"/>
      <c r="DY80" s="945"/>
      <c r="DZ80" s="945"/>
      <c r="EA80" s="945"/>
      <c r="EB80" s="945"/>
      <c r="EC80" s="945"/>
      <c r="ED80" s="945"/>
      <c r="EE80" s="945"/>
      <c r="EF80" s="945"/>
      <c r="EG80" s="945"/>
      <c r="EH80" s="945"/>
      <c r="EI80" s="945"/>
      <c r="EJ80" s="945"/>
      <c r="EK80" s="945"/>
      <c r="EL80" s="945"/>
      <c r="EM80" s="945"/>
      <c r="EN80" s="945"/>
      <c r="EO80" s="945"/>
      <c r="EP80" s="945"/>
      <c r="EQ80" s="945"/>
      <c r="ER80" s="945"/>
      <c r="ES80" s="945"/>
      <c r="ET80" s="945"/>
      <c r="EU80" s="945"/>
      <c r="EV80" s="945"/>
      <c r="EW80" s="945"/>
      <c r="EX80" s="945"/>
      <c r="EY80" s="945"/>
      <c r="EZ80" s="945"/>
      <c r="FA80" s="945"/>
      <c r="FB80" s="945"/>
      <c r="FC80" s="945"/>
      <c r="FD80" s="945"/>
      <c r="FE80" s="945"/>
      <c r="FF80" s="945"/>
      <c r="FG80" s="945"/>
      <c r="FH80" s="945"/>
      <c r="FI80" s="945"/>
      <c r="FJ80" s="945"/>
      <c r="FK80" s="945"/>
      <c r="FL80" s="945"/>
      <c r="FM80" s="945"/>
      <c r="FN80" s="945"/>
      <c r="FO80" s="945"/>
      <c r="FP80" s="945"/>
      <c r="FQ80" s="945"/>
      <c r="FR80" s="945"/>
      <c r="FS80" s="945"/>
      <c r="FT80" s="945"/>
      <c r="FU80" s="945"/>
      <c r="FV80" s="945"/>
      <c r="FW80" s="945"/>
      <c r="FX80" s="945"/>
      <c r="FY80" s="945"/>
      <c r="FZ80" s="945"/>
      <c r="GA80" s="945"/>
      <c r="GB80" s="945"/>
      <c r="GC80" s="945"/>
      <c r="GD80" s="945"/>
      <c r="GE80" s="945"/>
      <c r="GF80" s="945"/>
      <c r="GG80" s="945"/>
      <c r="GH80" s="945"/>
      <c r="GI80" s="945"/>
      <c r="GJ80" s="945"/>
      <c r="GK80" s="945"/>
      <c r="GL80" s="945"/>
      <c r="GM80" s="945"/>
      <c r="GN80" s="945"/>
      <c r="GO80" s="945"/>
      <c r="GP80" s="945"/>
      <c r="GQ80" s="945"/>
      <c r="GR80" s="945"/>
      <c r="GS80" s="945"/>
      <c r="GT80" s="945"/>
      <c r="GU80" s="945"/>
      <c r="GV80" s="945"/>
      <c r="GW80" s="945"/>
      <c r="GX80" s="945"/>
      <c r="GY80" s="945"/>
      <c r="GZ80" s="945"/>
      <c r="HA80" s="945"/>
      <c r="HB80" s="945"/>
      <c r="HC80" s="945"/>
      <c r="HD80" s="945"/>
      <c r="HE80" s="945"/>
      <c r="HF80" s="945"/>
      <c r="HG80" s="945"/>
      <c r="HH80" s="945"/>
      <c r="HI80" s="945"/>
      <c r="HJ80" s="945"/>
      <c r="HK80" s="945"/>
      <c r="HL80" s="945"/>
      <c r="HM80" s="945"/>
      <c r="HN80" s="945"/>
      <c r="HO80" s="945"/>
      <c r="HP80" s="945"/>
      <c r="HQ80" s="945"/>
      <c r="HR80" s="945"/>
      <c r="HS80" s="945"/>
      <c r="HT80" s="945"/>
      <c r="HU80" s="945"/>
      <c r="HV80" s="945"/>
      <c r="HW80" s="945"/>
      <c r="HX80" s="945"/>
      <c r="HY80" s="945"/>
      <c r="HZ80" s="945"/>
      <c r="IA80" s="945"/>
      <c r="IB80" s="945"/>
      <c r="IC80" s="945"/>
      <c r="ID80" s="945"/>
      <c r="IE80" s="945"/>
      <c r="IF80" s="945"/>
      <c r="IG80" s="945"/>
      <c r="IH80" s="945"/>
      <c r="II80" s="945"/>
      <c r="IJ80" s="945"/>
      <c r="IK80" s="945"/>
      <c r="IL80" s="945"/>
      <c r="IM80" s="945"/>
      <c r="IN80" s="945"/>
      <c r="IO80" s="945"/>
      <c r="IP80" s="945"/>
      <c r="IQ80" s="945"/>
      <c r="IR80" s="945"/>
      <c r="IS80" s="945"/>
      <c r="IT80" s="945"/>
      <c r="IU80" s="945"/>
      <c r="IV80" s="945"/>
      <c r="IW80" s="945"/>
      <c r="IX80" s="945"/>
      <c r="IY80" s="945"/>
      <c r="IZ80" s="945"/>
      <c r="JA80" s="945"/>
      <c r="JB80" s="945"/>
      <c r="JC80" s="945"/>
      <c r="JD80" s="945"/>
      <c r="JE80" s="945"/>
      <c r="JF80" s="945"/>
      <c r="JG80" s="945"/>
      <c r="JH80" s="945"/>
      <c r="JI80" s="945"/>
      <c r="JJ80" s="945"/>
      <c r="JK80" s="945"/>
      <c r="JL80" s="945"/>
      <c r="JM80" s="945"/>
      <c r="JN80" s="945"/>
      <c r="JO80" s="945"/>
      <c r="JP80" s="945"/>
      <c r="JQ80" s="945"/>
      <c r="JR80" s="945"/>
      <c r="JS80" s="945"/>
      <c r="JT80" s="945"/>
      <c r="JU80" s="945"/>
      <c r="JV80" s="945"/>
      <c r="JW80" s="945"/>
      <c r="JX80" s="945"/>
      <c r="JY80" s="945"/>
      <c r="JZ80" s="945"/>
      <c r="KA80" s="945"/>
      <c r="KB80" s="945"/>
      <c r="KC80" s="945"/>
      <c r="KD80" s="945"/>
      <c r="KE80" s="945"/>
      <c r="KF80" s="945"/>
      <c r="KG80" s="945"/>
      <c r="KH80" s="945"/>
      <c r="KI80" s="945"/>
      <c r="KJ80" s="945"/>
      <c r="KK80" s="945"/>
      <c r="KL80" s="945"/>
      <c r="KM80" s="945"/>
      <c r="KN80" s="945"/>
      <c r="KO80" s="945"/>
      <c r="KP80" s="945"/>
      <c r="KQ80" s="945"/>
      <c r="KR80" s="945"/>
      <c r="KS80" s="945"/>
      <c r="KT80" s="945"/>
      <c r="KU80" s="945"/>
      <c r="KV80" s="945"/>
      <c r="KW80" s="945"/>
      <c r="KX80" s="945"/>
      <c r="KY80" s="945"/>
      <c r="KZ80" s="945"/>
      <c r="LA80" s="945"/>
      <c r="LB80" s="945"/>
      <c r="LC80" s="945"/>
      <c r="LD80" s="945"/>
      <c r="LE80" s="945"/>
      <c r="LF80" s="945"/>
      <c r="LG80" s="945"/>
      <c r="LH80" s="945"/>
      <c r="LI80" s="945"/>
      <c r="LJ80" s="945"/>
      <c r="LK80" s="945"/>
      <c r="LL80" s="945"/>
      <c r="LM80" s="945"/>
      <c r="LN80" s="945"/>
      <c r="LO80" s="945"/>
      <c r="LP80" s="945"/>
      <c r="LQ80" s="945"/>
      <c r="LR80" s="945"/>
      <c r="LS80" s="945"/>
      <c r="LT80" s="945"/>
      <c r="LU80" s="945"/>
      <c r="LV80" s="945"/>
      <c r="LW80" s="945"/>
      <c r="LX80" s="945"/>
      <c r="LY80" s="945"/>
      <c r="LZ80" s="945"/>
      <c r="MA80" s="945"/>
      <c r="MB80" s="945"/>
      <c r="MC80" s="945"/>
      <c r="MD80" s="945"/>
      <c r="ME80" s="945"/>
      <c r="MF80" s="945"/>
      <c r="MG80" s="945"/>
      <c r="MH80" s="945"/>
      <c r="MI80" s="945"/>
      <c r="MJ80" s="945"/>
      <c r="MK80" s="945"/>
      <c r="ML80" s="945"/>
      <c r="MM80" s="945"/>
      <c r="MN80" s="945"/>
      <c r="MO80" s="945"/>
      <c r="MP80" s="945"/>
      <c r="MQ80" s="945"/>
      <c r="MR80" s="945"/>
      <c r="MS80" s="945"/>
      <c r="MT80" s="945"/>
      <c r="MU80" s="945"/>
      <c r="MV80" s="945"/>
      <c r="MW80" s="945"/>
      <c r="MX80" s="945"/>
      <c r="MY80" s="945"/>
      <c r="MZ80" s="945"/>
      <c r="NA80" s="945"/>
      <c r="NB80" s="945"/>
      <c r="NC80" s="945"/>
      <c r="ND80" s="945"/>
      <c r="NE80" s="945"/>
      <c r="NF80" s="945"/>
      <c r="NG80" s="945"/>
      <c r="NH80" s="945"/>
      <c r="NI80" s="945"/>
      <c r="NJ80" s="945"/>
      <c r="NK80" s="945"/>
      <c r="NL80" s="945"/>
      <c r="NM80" s="945"/>
      <c r="NN80" s="945"/>
      <c r="NO80" s="945"/>
      <c r="NP80" s="945"/>
      <c r="NQ80" s="945"/>
      <c r="NR80" s="945"/>
      <c r="NS80" s="945"/>
      <c r="NT80" s="945"/>
      <c r="NU80" s="945"/>
      <c r="NV80" s="945"/>
      <c r="NW80" s="945"/>
      <c r="NX80" s="945"/>
      <c r="NY80" s="945"/>
      <c r="NZ80" s="945"/>
      <c r="OA80" s="945"/>
      <c r="OB80" s="945"/>
      <c r="OC80" s="945"/>
      <c r="OD80" s="945"/>
      <c r="OE80" s="945"/>
      <c r="OF80" s="945"/>
      <c r="OG80" s="945"/>
      <c r="OH80" s="945"/>
      <c r="OI80" s="945"/>
      <c r="OJ80" s="945"/>
      <c r="OK80" s="945"/>
      <c r="OL80" s="945"/>
      <c r="OM80" s="945"/>
      <c r="ON80" s="945"/>
      <c r="OO80" s="945"/>
      <c r="OP80" s="945"/>
      <c r="OQ80" s="945"/>
      <c r="OR80" s="945"/>
      <c r="OS80" s="945"/>
      <c r="OT80" s="945"/>
      <c r="OU80" s="945"/>
      <c r="OV80" s="945"/>
      <c r="OW80" s="945"/>
      <c r="OX80" s="945"/>
      <c r="OY80" s="945"/>
      <c r="OZ80" s="945"/>
      <c r="PA80" s="945"/>
      <c r="PB80" s="945"/>
      <c r="PC80" s="945"/>
      <c r="PD80" s="945"/>
      <c r="PE80" s="945"/>
      <c r="PF80" s="945"/>
      <c r="PG80" s="945"/>
      <c r="PH80" s="945"/>
      <c r="PI80" s="945"/>
      <c r="PJ80" s="945"/>
      <c r="PK80" s="945"/>
      <c r="PL80" s="945"/>
      <c r="PM80" s="945"/>
      <c r="PN80" s="945"/>
      <c r="PO80" s="945"/>
      <c r="PP80" s="945"/>
      <c r="PQ80" s="945"/>
      <c r="PR80" s="945"/>
      <c r="PS80" s="945"/>
      <c r="PT80" s="945"/>
      <c r="PU80" s="945"/>
      <c r="PV80" s="945"/>
      <c r="PW80" s="945"/>
      <c r="PX80" s="945"/>
      <c r="PY80" s="945"/>
      <c r="PZ80" s="945"/>
      <c r="QA80" s="945"/>
      <c r="QB80" s="945"/>
      <c r="QC80" s="945"/>
      <c r="QD80" s="945"/>
      <c r="QE80" s="945"/>
      <c r="QF80" s="945"/>
      <c r="QG80" s="945"/>
      <c r="QH80" s="945"/>
      <c r="QI80" s="945"/>
      <c r="QJ80" s="945"/>
      <c r="QK80" s="945"/>
      <c r="QL80" s="945"/>
      <c r="QM80" s="945"/>
      <c r="QN80" s="945"/>
      <c r="QO80" s="945"/>
      <c r="QP80" s="945"/>
      <c r="QQ80" s="945"/>
      <c r="QR80" s="945"/>
      <c r="QS80" s="945"/>
      <c r="QT80" s="945"/>
      <c r="QU80" s="945"/>
      <c r="QV80" s="945"/>
      <c r="QW80" s="945"/>
      <c r="QX80" s="945"/>
      <c r="QY80" s="945"/>
      <c r="QZ80" s="945"/>
      <c r="RA80" s="945"/>
      <c r="RB80" s="945"/>
      <c r="RC80" s="945"/>
      <c r="RD80" s="945"/>
      <c r="RE80" s="945"/>
      <c r="RF80" s="945"/>
      <c r="RG80" s="945"/>
      <c r="RH80" s="945"/>
      <c r="RI80" s="945"/>
      <c r="RJ80" s="945"/>
      <c r="RK80" s="945"/>
      <c r="RL80" s="945"/>
      <c r="RM80" s="945"/>
      <c r="RN80" s="945"/>
      <c r="RO80" s="945"/>
      <c r="RP80" s="945"/>
      <c r="RQ80" s="945"/>
      <c r="RR80" s="945"/>
      <c r="RS80" s="945"/>
      <c r="RT80" s="945"/>
      <c r="RU80" s="945"/>
      <c r="RV80" s="945"/>
      <c r="RW80" s="945"/>
      <c r="RX80" s="945"/>
    </row>
    <row r="81" spans="39:78" s="165" customFormat="1">
      <c r="AM81" s="948"/>
      <c r="AN81" s="948"/>
      <c r="AO81" s="948"/>
      <c r="AP81" s="948"/>
      <c r="AQ81" s="948"/>
      <c r="AR81" s="948"/>
      <c r="AS81" s="948"/>
      <c r="AT81" s="948"/>
      <c r="AU81" s="948"/>
      <c r="AV81" s="948"/>
      <c r="AW81" s="948"/>
      <c r="AX81" s="948"/>
      <c r="AY81" s="948"/>
      <c r="AZ81" s="948"/>
      <c r="BA81" s="948"/>
      <c r="BB81" s="948"/>
      <c r="BC81" s="948"/>
      <c r="BD81" s="948"/>
      <c r="BE81" s="948"/>
      <c r="BF81" s="948"/>
      <c r="BG81" s="948"/>
      <c r="BH81" s="948"/>
      <c r="BI81" s="948"/>
      <c r="BJ81" s="948"/>
      <c r="BK81" s="948"/>
      <c r="BL81" s="948"/>
      <c r="BM81" s="948"/>
      <c r="BN81" s="948"/>
      <c r="BO81" s="948"/>
      <c r="BP81" s="948"/>
      <c r="BQ81" s="948"/>
      <c r="BR81" s="948"/>
      <c r="BS81" s="948"/>
      <c r="BT81" s="948"/>
      <c r="BU81" s="948"/>
      <c r="BV81" s="948"/>
      <c r="BW81" s="948"/>
      <c r="BX81" s="948"/>
      <c r="BY81" s="948"/>
      <c r="BZ81" s="948"/>
    </row>
    <row r="82" spans="39:78" s="165" customFormat="1">
      <c r="AM82" s="948"/>
      <c r="AN82" s="948"/>
      <c r="AO82" s="948"/>
      <c r="AP82" s="948"/>
      <c r="AQ82" s="948"/>
      <c r="AR82" s="948"/>
      <c r="AS82" s="948"/>
      <c r="AT82" s="948"/>
      <c r="AU82" s="948"/>
      <c r="AV82" s="948"/>
      <c r="AW82" s="948"/>
      <c r="AX82" s="948"/>
      <c r="AY82" s="948"/>
      <c r="AZ82" s="948"/>
      <c r="BA82" s="948"/>
      <c r="BB82" s="948"/>
      <c r="BC82" s="948"/>
      <c r="BD82" s="948"/>
      <c r="BE82" s="948"/>
      <c r="BF82" s="948"/>
      <c r="BG82" s="948"/>
      <c r="BH82" s="948"/>
      <c r="BI82" s="948"/>
      <c r="BJ82" s="948"/>
      <c r="BK82" s="948"/>
      <c r="BL82" s="948"/>
      <c r="BM82" s="948"/>
      <c r="BN82" s="948"/>
      <c r="BO82" s="948"/>
      <c r="BP82" s="948"/>
      <c r="BQ82" s="948"/>
      <c r="BR82" s="948"/>
      <c r="BS82" s="948"/>
      <c r="BT82" s="948"/>
      <c r="BU82" s="948"/>
      <c r="BV82" s="948"/>
      <c r="BW82" s="948"/>
      <c r="BX82" s="948"/>
      <c r="BY82" s="948"/>
      <c r="BZ82" s="948"/>
    </row>
    <row r="83" spans="39:78" s="165" customFormat="1">
      <c r="AM83" s="948"/>
      <c r="AN83" s="948"/>
      <c r="AO83" s="948"/>
      <c r="AP83" s="948"/>
      <c r="AQ83" s="948"/>
      <c r="AR83" s="948"/>
      <c r="AS83" s="948"/>
      <c r="AT83" s="948"/>
      <c r="AU83" s="948"/>
      <c r="AV83" s="948"/>
      <c r="AW83" s="948"/>
      <c r="AX83" s="948"/>
      <c r="AY83" s="948"/>
      <c r="AZ83" s="948"/>
      <c r="BA83" s="948"/>
      <c r="BB83" s="948"/>
      <c r="BC83" s="948"/>
      <c r="BD83" s="948"/>
      <c r="BE83" s="948"/>
      <c r="BF83" s="948"/>
      <c r="BG83" s="948"/>
      <c r="BH83" s="948"/>
      <c r="BI83" s="948"/>
      <c r="BJ83" s="948"/>
      <c r="BK83" s="948"/>
      <c r="BL83" s="948"/>
      <c r="BM83" s="948"/>
      <c r="BN83" s="948"/>
      <c r="BO83" s="948"/>
      <c r="BP83" s="948"/>
      <c r="BQ83" s="948"/>
      <c r="BR83" s="948"/>
      <c r="BS83" s="948"/>
      <c r="BT83" s="948"/>
      <c r="BU83" s="948"/>
      <c r="BV83" s="948"/>
      <c r="BW83" s="948"/>
      <c r="BX83" s="948"/>
      <c r="BY83" s="948"/>
      <c r="BZ83" s="948"/>
    </row>
    <row r="84" spans="39:78" s="165" customFormat="1">
      <c r="AM84" s="948"/>
      <c r="AN84" s="948"/>
      <c r="AO84" s="948"/>
      <c r="AP84" s="948"/>
      <c r="AQ84" s="948"/>
      <c r="AR84" s="948"/>
      <c r="AS84" s="948"/>
      <c r="AT84" s="948"/>
      <c r="AU84" s="948"/>
      <c r="AV84" s="948"/>
      <c r="AW84" s="948"/>
      <c r="AX84" s="948"/>
      <c r="AY84" s="948"/>
      <c r="AZ84" s="948"/>
      <c r="BA84" s="948"/>
      <c r="BB84" s="948"/>
      <c r="BC84" s="948"/>
      <c r="BD84" s="948"/>
      <c r="BE84" s="948"/>
      <c r="BF84" s="948"/>
      <c r="BG84" s="948"/>
      <c r="BH84" s="948"/>
      <c r="BI84" s="948"/>
      <c r="BJ84" s="948"/>
      <c r="BK84" s="948"/>
      <c r="BL84" s="948"/>
      <c r="BM84" s="948"/>
      <c r="BN84" s="948"/>
      <c r="BO84" s="948"/>
      <c r="BP84" s="948"/>
      <c r="BQ84" s="948"/>
      <c r="BR84" s="948"/>
      <c r="BS84" s="948"/>
      <c r="BT84" s="948"/>
      <c r="BU84" s="948"/>
      <c r="BV84" s="948"/>
      <c r="BW84" s="948"/>
      <c r="BX84" s="948"/>
      <c r="BY84" s="948"/>
      <c r="BZ84" s="948"/>
    </row>
    <row r="85" spans="39:78" s="165" customFormat="1">
      <c r="AM85" s="948"/>
      <c r="AN85" s="948"/>
      <c r="AO85" s="948"/>
      <c r="AP85" s="948"/>
      <c r="AQ85" s="948"/>
      <c r="AR85" s="948"/>
      <c r="AS85" s="948"/>
      <c r="AT85" s="948"/>
      <c r="AU85" s="948"/>
      <c r="AV85" s="948"/>
      <c r="AW85" s="948"/>
      <c r="AX85" s="948"/>
      <c r="AY85" s="948"/>
      <c r="AZ85" s="948"/>
      <c r="BA85" s="948"/>
      <c r="BB85" s="948"/>
      <c r="BC85" s="948"/>
      <c r="BD85" s="948"/>
      <c r="BE85" s="948"/>
      <c r="BF85" s="948"/>
      <c r="BG85" s="948"/>
      <c r="BH85" s="948"/>
      <c r="BI85" s="948"/>
      <c r="BJ85" s="948"/>
      <c r="BK85" s="948"/>
      <c r="BL85" s="948"/>
      <c r="BM85" s="948"/>
      <c r="BN85" s="948"/>
      <c r="BO85" s="948"/>
      <c r="BP85" s="948"/>
      <c r="BQ85" s="948"/>
      <c r="BR85" s="948"/>
      <c r="BS85" s="948"/>
      <c r="BT85" s="948"/>
      <c r="BU85" s="948"/>
      <c r="BV85" s="948"/>
      <c r="BW85" s="948"/>
      <c r="BX85" s="948"/>
      <c r="BY85" s="948"/>
      <c r="BZ85" s="948"/>
    </row>
    <row r="86" spans="39:78" s="165" customFormat="1">
      <c r="AM86" s="948"/>
      <c r="AN86" s="948"/>
      <c r="AO86" s="948"/>
      <c r="AP86" s="948"/>
      <c r="AQ86" s="948"/>
      <c r="AR86" s="948"/>
      <c r="AS86" s="948"/>
      <c r="AT86" s="948"/>
      <c r="AU86" s="948"/>
      <c r="AV86" s="948"/>
      <c r="AW86" s="948"/>
      <c r="AX86" s="948"/>
      <c r="AY86" s="948"/>
      <c r="AZ86" s="948"/>
      <c r="BA86" s="948"/>
      <c r="BB86" s="948"/>
      <c r="BC86" s="948"/>
      <c r="BD86" s="948"/>
      <c r="BE86" s="948"/>
      <c r="BF86" s="948"/>
      <c r="BG86" s="948"/>
      <c r="BH86" s="948"/>
      <c r="BI86" s="948"/>
      <c r="BJ86" s="948"/>
      <c r="BK86" s="948"/>
      <c r="BL86" s="948"/>
      <c r="BM86" s="948"/>
      <c r="BN86" s="948"/>
      <c r="BO86" s="948"/>
      <c r="BP86" s="948"/>
      <c r="BQ86" s="948"/>
      <c r="BR86" s="948"/>
      <c r="BS86" s="948"/>
      <c r="BT86" s="948"/>
      <c r="BU86" s="948"/>
      <c r="BV86" s="948"/>
      <c r="BW86" s="948"/>
      <c r="BX86" s="948"/>
      <c r="BY86" s="948"/>
      <c r="BZ86" s="948"/>
    </row>
    <row r="87" spans="39:78" s="165" customFormat="1">
      <c r="AM87" s="948"/>
      <c r="AN87" s="948"/>
      <c r="AO87" s="948"/>
      <c r="AP87" s="948"/>
      <c r="AQ87" s="948"/>
      <c r="AR87" s="948"/>
      <c r="AS87" s="948"/>
      <c r="AT87" s="948"/>
      <c r="AU87" s="948"/>
      <c r="AV87" s="948"/>
      <c r="AW87" s="948"/>
      <c r="AX87" s="948"/>
      <c r="AY87" s="948"/>
      <c r="AZ87" s="948"/>
      <c r="BA87" s="948"/>
      <c r="BB87" s="948"/>
      <c r="BC87" s="948"/>
      <c r="BD87" s="948"/>
      <c r="BE87" s="948"/>
      <c r="BF87" s="948"/>
      <c r="BG87" s="948"/>
      <c r="BH87" s="948"/>
      <c r="BI87" s="948"/>
      <c r="BJ87" s="948"/>
      <c r="BK87" s="948"/>
      <c r="BL87" s="948"/>
      <c r="BM87" s="948"/>
      <c r="BN87" s="948"/>
      <c r="BO87" s="948"/>
      <c r="BP87" s="948"/>
      <c r="BQ87" s="948"/>
      <c r="BR87" s="948"/>
      <c r="BS87" s="948"/>
      <c r="BT87" s="948"/>
      <c r="BU87" s="948"/>
      <c r="BV87" s="948"/>
      <c r="BW87" s="948"/>
      <c r="BX87" s="948"/>
      <c r="BY87" s="948"/>
      <c r="BZ87" s="948"/>
    </row>
    <row r="88" spans="39:78" s="165" customFormat="1">
      <c r="AM88" s="948"/>
      <c r="AN88" s="948"/>
      <c r="AO88" s="948"/>
      <c r="AP88" s="948"/>
      <c r="AQ88" s="948"/>
      <c r="AR88" s="948"/>
      <c r="AS88" s="948"/>
      <c r="AT88" s="948"/>
      <c r="AU88" s="948"/>
      <c r="AV88" s="948"/>
      <c r="AW88" s="948"/>
      <c r="AX88" s="948"/>
      <c r="AY88" s="948"/>
      <c r="AZ88" s="948"/>
      <c r="BA88" s="948"/>
      <c r="BB88" s="948"/>
      <c r="BC88" s="948"/>
      <c r="BD88" s="948"/>
      <c r="BE88" s="948"/>
      <c r="BF88" s="948"/>
      <c r="BG88" s="948"/>
      <c r="BH88" s="948"/>
      <c r="BI88" s="948"/>
      <c r="BJ88" s="948"/>
      <c r="BK88" s="948"/>
      <c r="BL88" s="948"/>
      <c r="BM88" s="948"/>
      <c r="BN88" s="948"/>
      <c r="BO88" s="948"/>
      <c r="BP88" s="948"/>
      <c r="BQ88" s="948"/>
      <c r="BR88" s="948"/>
      <c r="BS88" s="948"/>
      <c r="BT88" s="948"/>
      <c r="BU88" s="948"/>
      <c r="BV88" s="948"/>
      <c r="BW88" s="948"/>
      <c r="BX88" s="948"/>
      <c r="BY88" s="948"/>
      <c r="BZ88" s="948"/>
    </row>
    <row r="89" spans="39:78" s="165" customFormat="1">
      <c r="AM89" s="948"/>
      <c r="AN89" s="948"/>
      <c r="AO89" s="948"/>
      <c r="AP89" s="948"/>
      <c r="AQ89" s="948"/>
      <c r="AR89" s="948"/>
      <c r="AS89" s="948"/>
      <c r="AT89" s="948"/>
      <c r="AU89" s="948"/>
      <c r="AV89" s="948"/>
      <c r="AW89" s="948"/>
      <c r="AX89" s="948"/>
      <c r="AY89" s="948"/>
      <c r="AZ89" s="948"/>
      <c r="BA89" s="948"/>
      <c r="BB89" s="948"/>
      <c r="BC89" s="948"/>
      <c r="BD89" s="948"/>
      <c r="BE89" s="948"/>
      <c r="BF89" s="948"/>
      <c r="BG89" s="948"/>
      <c r="BH89" s="948"/>
      <c r="BI89" s="948"/>
      <c r="BJ89" s="948"/>
      <c r="BK89" s="948"/>
      <c r="BL89" s="948"/>
      <c r="BM89" s="948"/>
      <c r="BN89" s="948"/>
      <c r="BO89" s="948"/>
      <c r="BP89" s="948"/>
      <c r="BQ89" s="948"/>
      <c r="BR89" s="948"/>
      <c r="BS89" s="948"/>
      <c r="BT89" s="948"/>
      <c r="BU89" s="948"/>
      <c r="BV89" s="948"/>
      <c r="BW89" s="948"/>
      <c r="BX89" s="948"/>
      <c r="BY89" s="948"/>
      <c r="BZ89" s="948"/>
    </row>
    <row r="90" spans="39:78" s="165" customFormat="1">
      <c r="AM90" s="948"/>
      <c r="AN90" s="948"/>
      <c r="AO90" s="948"/>
      <c r="AP90" s="948"/>
      <c r="AQ90" s="948"/>
      <c r="AR90" s="948"/>
      <c r="AS90" s="948"/>
      <c r="AT90" s="948"/>
      <c r="AU90" s="948"/>
      <c r="AV90" s="948"/>
      <c r="AW90" s="948"/>
      <c r="AX90" s="948"/>
      <c r="AY90" s="948"/>
      <c r="AZ90" s="948"/>
      <c r="BA90" s="948"/>
      <c r="BB90" s="948"/>
      <c r="BC90" s="948"/>
      <c r="BD90" s="948"/>
      <c r="BE90" s="948"/>
      <c r="BF90" s="948"/>
      <c r="BG90" s="948"/>
      <c r="BH90" s="948"/>
      <c r="BI90" s="948"/>
      <c r="BJ90" s="948"/>
      <c r="BK90" s="948"/>
      <c r="BL90" s="948"/>
      <c r="BM90" s="948"/>
      <c r="BN90" s="948"/>
      <c r="BO90" s="948"/>
      <c r="BP90" s="948"/>
      <c r="BQ90" s="948"/>
      <c r="BR90" s="948"/>
      <c r="BS90" s="948"/>
      <c r="BT90" s="948"/>
      <c r="BU90" s="948"/>
      <c r="BV90" s="948"/>
      <c r="BW90" s="948"/>
      <c r="BX90" s="948"/>
      <c r="BY90" s="948"/>
      <c r="BZ90" s="948"/>
    </row>
    <row r="91" spans="39:78" s="165" customFormat="1">
      <c r="AM91" s="948"/>
      <c r="AN91" s="948"/>
      <c r="AO91" s="948"/>
      <c r="AP91" s="948"/>
      <c r="AQ91" s="948"/>
      <c r="AR91" s="948"/>
      <c r="AS91" s="948"/>
      <c r="AT91" s="948"/>
      <c r="AU91" s="948"/>
      <c r="AV91" s="948"/>
      <c r="AW91" s="948"/>
      <c r="AX91" s="948"/>
      <c r="AY91" s="948"/>
      <c r="AZ91" s="948"/>
      <c r="BA91" s="948"/>
      <c r="BB91" s="948"/>
      <c r="BC91" s="948"/>
      <c r="BD91" s="948"/>
      <c r="BE91" s="948"/>
      <c r="BF91" s="948"/>
      <c r="BG91" s="948"/>
      <c r="BH91" s="948"/>
      <c r="BI91" s="948"/>
      <c r="BJ91" s="948"/>
      <c r="BK91" s="948"/>
      <c r="BL91" s="948"/>
      <c r="BM91" s="948"/>
      <c r="BN91" s="948"/>
      <c r="BO91" s="948"/>
      <c r="BP91" s="948"/>
      <c r="BQ91" s="948"/>
      <c r="BR91" s="948"/>
      <c r="BS91" s="948"/>
      <c r="BT91" s="948"/>
      <c r="BU91" s="948"/>
      <c r="BV91" s="948"/>
      <c r="BW91" s="948"/>
      <c r="BX91" s="948"/>
      <c r="BY91" s="948"/>
      <c r="BZ91" s="948"/>
    </row>
    <row r="92" spans="39:78" s="165" customFormat="1">
      <c r="AM92" s="948"/>
      <c r="AN92" s="948"/>
      <c r="AO92" s="948"/>
      <c r="AP92" s="948"/>
      <c r="AQ92" s="948"/>
      <c r="AR92" s="948"/>
      <c r="AS92" s="948"/>
      <c r="AT92" s="948"/>
      <c r="AU92" s="948"/>
      <c r="AV92" s="948"/>
      <c r="AW92" s="948"/>
      <c r="AX92" s="948"/>
      <c r="AY92" s="948"/>
      <c r="AZ92" s="948"/>
      <c r="BA92" s="948"/>
      <c r="BB92" s="948"/>
      <c r="BC92" s="948"/>
      <c r="BD92" s="948"/>
      <c r="BE92" s="948"/>
      <c r="BF92" s="948"/>
      <c r="BG92" s="948"/>
      <c r="BH92" s="948"/>
      <c r="BI92" s="948"/>
      <c r="BJ92" s="948"/>
      <c r="BK92" s="948"/>
      <c r="BL92" s="948"/>
      <c r="BM92" s="948"/>
      <c r="BN92" s="948"/>
      <c r="BO92" s="948"/>
      <c r="BP92" s="948"/>
      <c r="BQ92" s="948"/>
      <c r="BR92" s="948"/>
      <c r="BS92" s="948"/>
      <c r="BT92" s="948"/>
      <c r="BU92" s="948"/>
      <c r="BV92" s="948"/>
      <c r="BW92" s="948"/>
      <c r="BX92" s="948"/>
      <c r="BY92" s="948"/>
      <c r="BZ92" s="948"/>
    </row>
    <row r="93" spans="39:78" s="165" customFormat="1">
      <c r="AM93" s="948"/>
      <c r="AN93" s="948"/>
      <c r="AO93" s="948"/>
      <c r="AP93" s="948"/>
      <c r="AQ93" s="948"/>
      <c r="AR93" s="948"/>
      <c r="AS93" s="948"/>
      <c r="AT93" s="948"/>
      <c r="AU93" s="948"/>
      <c r="AV93" s="948"/>
      <c r="AW93" s="948"/>
      <c r="AX93" s="948"/>
      <c r="AY93" s="948"/>
      <c r="AZ93" s="948"/>
      <c r="BA93" s="948"/>
      <c r="BB93" s="948"/>
      <c r="BC93" s="948"/>
      <c r="BD93" s="948"/>
      <c r="BE93" s="948"/>
      <c r="BF93" s="948"/>
      <c r="BG93" s="948"/>
      <c r="BH93" s="948"/>
      <c r="BI93" s="948"/>
      <c r="BJ93" s="948"/>
      <c r="BK93" s="948"/>
      <c r="BL93" s="948"/>
      <c r="BM93" s="948"/>
      <c r="BN93" s="948"/>
      <c r="BO93" s="948"/>
      <c r="BP93" s="948"/>
      <c r="BQ93" s="948"/>
      <c r="BR93" s="948"/>
      <c r="BS93" s="948"/>
      <c r="BT93" s="948"/>
      <c r="BU93" s="948"/>
      <c r="BV93" s="948"/>
      <c r="BW93" s="948"/>
      <c r="BX93" s="948"/>
      <c r="BY93" s="948"/>
      <c r="BZ93" s="948"/>
    </row>
    <row r="94" spans="39:78" s="165" customFormat="1">
      <c r="AM94" s="948"/>
      <c r="AN94" s="948"/>
      <c r="AO94" s="948"/>
      <c r="AP94" s="948"/>
      <c r="AQ94" s="948"/>
      <c r="AR94" s="948"/>
      <c r="AS94" s="948"/>
      <c r="AT94" s="948"/>
      <c r="AU94" s="948"/>
      <c r="AV94" s="948"/>
      <c r="AW94" s="948"/>
      <c r="AX94" s="948"/>
      <c r="AY94" s="948"/>
      <c r="AZ94" s="948"/>
      <c r="BA94" s="948"/>
      <c r="BB94" s="948"/>
      <c r="BC94" s="948"/>
      <c r="BD94" s="948"/>
      <c r="BE94" s="948"/>
      <c r="BF94" s="948"/>
      <c r="BG94" s="948"/>
      <c r="BH94" s="948"/>
      <c r="BI94" s="948"/>
      <c r="BJ94" s="948"/>
      <c r="BK94" s="948"/>
      <c r="BL94" s="948"/>
      <c r="BM94" s="948"/>
      <c r="BN94" s="948"/>
      <c r="BO94" s="948"/>
      <c r="BP94" s="948"/>
      <c r="BQ94" s="948"/>
      <c r="BR94" s="948"/>
      <c r="BS94" s="948"/>
      <c r="BT94" s="948"/>
      <c r="BU94" s="948"/>
      <c r="BV94" s="948"/>
      <c r="BW94" s="948"/>
      <c r="BX94" s="948"/>
      <c r="BY94" s="948"/>
      <c r="BZ94" s="948"/>
    </row>
    <row r="95" spans="39:78" s="165" customFormat="1">
      <c r="AM95" s="948"/>
      <c r="AN95" s="948"/>
      <c r="AO95" s="948"/>
      <c r="AP95" s="948"/>
      <c r="AQ95" s="948"/>
      <c r="AR95" s="948"/>
      <c r="AS95" s="948"/>
      <c r="AT95" s="948"/>
      <c r="AU95" s="948"/>
      <c r="AV95" s="948"/>
      <c r="AW95" s="948"/>
      <c r="AX95" s="948"/>
      <c r="AY95" s="948"/>
      <c r="AZ95" s="948"/>
      <c r="BA95" s="948"/>
      <c r="BB95" s="948"/>
      <c r="BC95" s="948"/>
      <c r="BD95" s="948"/>
      <c r="BE95" s="948"/>
      <c r="BF95" s="948"/>
      <c r="BG95" s="948"/>
      <c r="BH95" s="948"/>
      <c r="BI95" s="948"/>
      <c r="BJ95" s="948"/>
      <c r="BK95" s="948"/>
      <c r="BL95" s="948"/>
      <c r="BM95" s="948"/>
      <c r="BN95" s="948"/>
      <c r="BO95" s="948"/>
      <c r="BP95" s="948"/>
      <c r="BQ95" s="948"/>
      <c r="BR95" s="948"/>
      <c r="BS95" s="948"/>
      <c r="BT95" s="948"/>
      <c r="BU95" s="948"/>
      <c r="BV95" s="948"/>
      <c r="BW95" s="948"/>
      <c r="BX95" s="948"/>
      <c r="BY95" s="948"/>
      <c r="BZ95" s="948"/>
    </row>
    <row r="96" spans="39:78" s="165" customFormat="1">
      <c r="AM96" s="948"/>
      <c r="AN96" s="948"/>
      <c r="AO96" s="948"/>
      <c r="AP96" s="948"/>
      <c r="AQ96" s="948"/>
      <c r="AR96" s="948"/>
      <c r="AS96" s="948"/>
      <c r="AT96" s="948"/>
      <c r="AU96" s="948"/>
      <c r="AV96" s="948"/>
      <c r="AW96" s="948"/>
      <c r="AX96" s="948"/>
      <c r="AY96" s="948"/>
      <c r="AZ96" s="948"/>
      <c r="BA96" s="948"/>
      <c r="BB96" s="948"/>
      <c r="BC96" s="948"/>
      <c r="BD96" s="948"/>
      <c r="BE96" s="948"/>
      <c r="BF96" s="948"/>
      <c r="BG96" s="948"/>
      <c r="BH96" s="948"/>
      <c r="BI96" s="948"/>
      <c r="BJ96" s="948"/>
      <c r="BK96" s="948"/>
      <c r="BL96" s="948"/>
      <c r="BM96" s="948"/>
      <c r="BN96" s="948"/>
      <c r="BO96" s="948"/>
      <c r="BP96" s="948"/>
      <c r="BQ96" s="948"/>
      <c r="BR96" s="948"/>
      <c r="BS96" s="948"/>
      <c r="BT96" s="948"/>
      <c r="BU96" s="948"/>
      <c r="BV96" s="948"/>
      <c r="BW96" s="948"/>
      <c r="BX96" s="948"/>
      <c r="BY96" s="948"/>
      <c r="BZ96" s="948"/>
    </row>
    <row r="97" spans="39:78" s="165" customFormat="1">
      <c r="AM97" s="948"/>
      <c r="AN97" s="948"/>
      <c r="AO97" s="948"/>
      <c r="AP97" s="948"/>
      <c r="AQ97" s="948"/>
      <c r="AR97" s="948"/>
      <c r="AS97" s="948"/>
      <c r="AT97" s="948"/>
      <c r="AU97" s="948"/>
      <c r="AV97" s="948"/>
      <c r="AW97" s="948"/>
      <c r="AX97" s="948"/>
      <c r="AY97" s="948"/>
      <c r="AZ97" s="948"/>
      <c r="BA97" s="948"/>
      <c r="BB97" s="948"/>
      <c r="BC97" s="948"/>
      <c r="BD97" s="948"/>
      <c r="BE97" s="948"/>
      <c r="BF97" s="948"/>
      <c r="BG97" s="948"/>
      <c r="BH97" s="948"/>
      <c r="BI97" s="948"/>
      <c r="BJ97" s="948"/>
      <c r="BK97" s="948"/>
      <c r="BL97" s="948"/>
      <c r="BM97" s="948"/>
      <c r="BN97" s="948"/>
      <c r="BO97" s="948"/>
      <c r="BP97" s="948"/>
      <c r="BQ97" s="948"/>
      <c r="BR97" s="948"/>
      <c r="BS97" s="948"/>
      <c r="BT97" s="948"/>
      <c r="BU97" s="948"/>
      <c r="BV97" s="948"/>
      <c r="BW97" s="948"/>
      <c r="BX97" s="948"/>
      <c r="BY97" s="948"/>
      <c r="BZ97" s="948"/>
    </row>
    <row r="98" spans="39:78" s="165" customFormat="1">
      <c r="AM98" s="948"/>
      <c r="AN98" s="948"/>
      <c r="AO98" s="948"/>
      <c r="AP98" s="948"/>
      <c r="AQ98" s="948"/>
      <c r="AR98" s="948"/>
      <c r="AS98" s="948"/>
      <c r="AT98" s="948"/>
      <c r="AU98" s="948"/>
      <c r="AV98" s="948"/>
      <c r="AW98" s="948"/>
      <c r="AX98" s="948"/>
      <c r="AY98" s="948"/>
      <c r="AZ98" s="948"/>
      <c r="BA98" s="948"/>
      <c r="BB98" s="948"/>
      <c r="BC98" s="948"/>
      <c r="BD98" s="948"/>
      <c r="BE98" s="948"/>
      <c r="BF98" s="948"/>
      <c r="BG98" s="948"/>
      <c r="BH98" s="948"/>
      <c r="BI98" s="948"/>
      <c r="BJ98" s="948"/>
      <c r="BK98" s="948"/>
      <c r="BL98" s="948"/>
      <c r="BM98" s="948"/>
      <c r="BN98" s="948"/>
      <c r="BO98" s="948"/>
      <c r="BP98" s="948"/>
      <c r="BQ98" s="948"/>
      <c r="BR98" s="948"/>
      <c r="BS98" s="948"/>
      <c r="BT98" s="948"/>
      <c r="BU98" s="948"/>
      <c r="BV98" s="948"/>
      <c r="BW98" s="948"/>
      <c r="BX98" s="948"/>
      <c r="BY98" s="948"/>
      <c r="BZ98" s="948"/>
    </row>
    <row r="99" spans="39:78" s="165" customFormat="1">
      <c r="AM99" s="948"/>
      <c r="AN99" s="948"/>
      <c r="AO99" s="948"/>
      <c r="AP99" s="948"/>
      <c r="AQ99" s="948"/>
      <c r="AR99" s="948"/>
      <c r="AS99" s="948"/>
      <c r="AT99" s="948"/>
      <c r="AU99" s="948"/>
      <c r="AV99" s="948"/>
      <c r="AW99" s="948"/>
      <c r="AX99" s="948"/>
      <c r="AY99" s="948"/>
      <c r="AZ99" s="948"/>
      <c r="BA99" s="948"/>
      <c r="BB99" s="948"/>
      <c r="BC99" s="948"/>
      <c r="BD99" s="948"/>
      <c r="BE99" s="948"/>
      <c r="BF99" s="948"/>
      <c r="BG99" s="948"/>
      <c r="BH99" s="948"/>
      <c r="BI99" s="948"/>
      <c r="BJ99" s="948"/>
      <c r="BK99" s="948"/>
      <c r="BL99" s="948"/>
      <c r="BM99" s="948"/>
      <c r="BN99" s="948"/>
      <c r="BO99" s="948"/>
      <c r="BP99" s="948"/>
      <c r="BQ99" s="948"/>
      <c r="BR99" s="948"/>
      <c r="BS99" s="948"/>
      <c r="BT99" s="948"/>
      <c r="BU99" s="948"/>
      <c r="BV99" s="948"/>
      <c r="BW99" s="948"/>
      <c r="BX99" s="948"/>
      <c r="BY99" s="948"/>
      <c r="BZ99" s="948"/>
    </row>
    <row r="100" spans="39:78" s="165" customFormat="1">
      <c r="AM100" s="948"/>
      <c r="AN100" s="948"/>
      <c r="AO100" s="948"/>
      <c r="AP100" s="948"/>
      <c r="AQ100" s="948"/>
      <c r="AR100" s="948"/>
      <c r="AS100" s="948"/>
      <c r="AT100" s="948"/>
      <c r="AU100" s="948"/>
      <c r="AV100" s="948"/>
      <c r="AW100" s="948"/>
      <c r="AX100" s="948"/>
      <c r="AY100" s="948"/>
      <c r="AZ100" s="948"/>
      <c r="BA100" s="948"/>
      <c r="BB100" s="948"/>
      <c r="BC100" s="948"/>
      <c r="BD100" s="948"/>
      <c r="BE100" s="948"/>
      <c r="BF100" s="948"/>
      <c r="BG100" s="948"/>
      <c r="BH100" s="948"/>
      <c r="BI100" s="948"/>
      <c r="BJ100" s="948"/>
      <c r="BK100" s="948"/>
      <c r="BL100" s="948"/>
      <c r="BM100" s="948"/>
      <c r="BN100" s="948"/>
      <c r="BO100" s="948"/>
      <c r="BP100" s="948"/>
      <c r="BQ100" s="948"/>
      <c r="BR100" s="948"/>
      <c r="BS100" s="948"/>
      <c r="BT100" s="948"/>
      <c r="BU100" s="948"/>
      <c r="BV100" s="948"/>
      <c r="BW100" s="948"/>
      <c r="BX100" s="948"/>
      <c r="BY100" s="948"/>
      <c r="BZ100" s="948"/>
    </row>
    <row r="101" spans="39:78" s="165" customFormat="1">
      <c r="AM101" s="948"/>
      <c r="AN101" s="948"/>
      <c r="AO101" s="948"/>
      <c r="AP101" s="948"/>
      <c r="AQ101" s="948"/>
      <c r="AR101" s="948"/>
      <c r="AS101" s="948"/>
      <c r="AT101" s="948"/>
      <c r="AU101" s="948"/>
      <c r="AV101" s="948"/>
      <c r="AW101" s="948"/>
      <c r="AX101" s="948"/>
      <c r="AY101" s="948"/>
      <c r="AZ101" s="948"/>
      <c r="BA101" s="948"/>
      <c r="BB101" s="948"/>
      <c r="BC101" s="948"/>
      <c r="BD101" s="948"/>
      <c r="BE101" s="948"/>
      <c r="BF101" s="948"/>
      <c r="BG101" s="948"/>
      <c r="BH101" s="948"/>
      <c r="BI101" s="948"/>
      <c r="BJ101" s="948"/>
      <c r="BK101" s="948"/>
      <c r="BL101" s="948"/>
      <c r="BM101" s="948"/>
      <c r="BN101" s="948"/>
      <c r="BO101" s="948"/>
      <c r="BP101" s="948"/>
      <c r="BQ101" s="948"/>
      <c r="BR101" s="948"/>
      <c r="BS101" s="948"/>
      <c r="BT101" s="948"/>
      <c r="BU101" s="948"/>
      <c r="BV101" s="948"/>
      <c r="BW101" s="948"/>
      <c r="BX101" s="948"/>
      <c r="BY101" s="948"/>
      <c r="BZ101" s="948"/>
    </row>
    <row r="102" spans="39:78" s="165" customFormat="1">
      <c r="AM102" s="948"/>
      <c r="AN102" s="948"/>
      <c r="AO102" s="948"/>
      <c r="AP102" s="948"/>
      <c r="AQ102" s="948"/>
      <c r="AR102" s="948"/>
      <c r="AS102" s="948"/>
      <c r="AT102" s="948"/>
      <c r="AU102" s="948"/>
      <c r="AV102" s="948"/>
      <c r="AW102" s="948"/>
      <c r="AX102" s="948"/>
      <c r="AY102" s="948"/>
      <c r="AZ102" s="948"/>
      <c r="BA102" s="948"/>
      <c r="BB102" s="948"/>
      <c r="BC102" s="948"/>
      <c r="BD102" s="948"/>
      <c r="BE102" s="948"/>
      <c r="BF102" s="948"/>
      <c r="BG102" s="948"/>
      <c r="BH102" s="948"/>
      <c r="BI102" s="948"/>
      <c r="BJ102" s="948"/>
      <c r="BK102" s="948"/>
      <c r="BL102" s="948"/>
      <c r="BM102" s="948"/>
      <c r="BN102" s="948"/>
      <c r="BO102" s="948"/>
      <c r="BP102" s="948"/>
      <c r="BQ102" s="948"/>
      <c r="BR102" s="948"/>
      <c r="BS102" s="948"/>
      <c r="BT102" s="948"/>
      <c r="BU102" s="948"/>
      <c r="BV102" s="948"/>
      <c r="BW102" s="948"/>
      <c r="BX102" s="948"/>
      <c r="BY102" s="948"/>
      <c r="BZ102" s="948"/>
    </row>
    <row r="103" spans="39:78" s="165" customFormat="1">
      <c r="AM103" s="948"/>
      <c r="AN103" s="948"/>
      <c r="AO103" s="948"/>
      <c r="AP103" s="948"/>
      <c r="AQ103" s="948"/>
      <c r="AR103" s="948"/>
      <c r="AS103" s="948"/>
      <c r="AT103" s="948"/>
      <c r="AU103" s="948"/>
      <c r="AV103" s="948"/>
      <c r="AW103" s="948"/>
      <c r="AX103" s="948"/>
      <c r="AY103" s="948"/>
      <c r="AZ103" s="948"/>
      <c r="BA103" s="948"/>
      <c r="BB103" s="948"/>
      <c r="BC103" s="948"/>
      <c r="BD103" s="948"/>
      <c r="BE103" s="948"/>
      <c r="BF103" s="948"/>
      <c r="BG103" s="948"/>
      <c r="BH103" s="948"/>
      <c r="BI103" s="948"/>
      <c r="BJ103" s="948"/>
      <c r="BK103" s="948"/>
      <c r="BL103" s="948"/>
      <c r="BM103" s="948"/>
      <c r="BN103" s="948"/>
      <c r="BO103" s="948"/>
      <c r="BP103" s="948"/>
      <c r="BQ103" s="948"/>
      <c r="BR103" s="948"/>
      <c r="BS103" s="948"/>
      <c r="BT103" s="948"/>
      <c r="BU103" s="948"/>
      <c r="BV103" s="948"/>
      <c r="BW103" s="948"/>
      <c r="BX103" s="948"/>
      <c r="BY103" s="948"/>
      <c r="BZ103" s="948"/>
    </row>
    <row r="104" spans="39:78" s="165" customFormat="1">
      <c r="AM104" s="948"/>
      <c r="AN104" s="948"/>
      <c r="AO104" s="948"/>
      <c r="AP104" s="948"/>
      <c r="AQ104" s="948"/>
      <c r="AR104" s="948"/>
      <c r="AS104" s="948"/>
      <c r="AT104" s="948"/>
      <c r="AU104" s="948"/>
      <c r="AV104" s="948"/>
      <c r="AW104" s="948"/>
      <c r="AX104" s="948"/>
      <c r="AY104" s="948"/>
      <c r="AZ104" s="948"/>
      <c r="BA104" s="948"/>
      <c r="BB104" s="948"/>
      <c r="BC104" s="948"/>
      <c r="BD104" s="948"/>
      <c r="BE104" s="948"/>
      <c r="BF104" s="948"/>
      <c r="BG104" s="948"/>
      <c r="BH104" s="948"/>
      <c r="BI104" s="948"/>
      <c r="BJ104" s="948"/>
      <c r="BK104" s="948"/>
      <c r="BL104" s="948"/>
      <c r="BM104" s="948"/>
      <c r="BN104" s="948"/>
      <c r="BO104" s="948"/>
      <c r="BP104" s="948"/>
      <c r="BQ104" s="948"/>
      <c r="BR104" s="948"/>
      <c r="BS104" s="948"/>
      <c r="BT104" s="948"/>
      <c r="BU104" s="948"/>
      <c r="BV104" s="948"/>
      <c r="BW104" s="948"/>
      <c r="BX104" s="948"/>
      <c r="BY104" s="948"/>
      <c r="BZ104" s="948"/>
    </row>
    <row r="105" spans="39:78" s="165" customFormat="1">
      <c r="AM105" s="948"/>
      <c r="AN105" s="948"/>
      <c r="AO105" s="948"/>
      <c r="AP105" s="948"/>
      <c r="AQ105" s="948"/>
      <c r="AR105" s="948"/>
      <c r="AS105" s="948"/>
      <c r="AT105" s="948"/>
      <c r="AU105" s="948"/>
      <c r="AV105" s="948"/>
      <c r="AW105" s="948"/>
      <c r="AX105" s="948"/>
      <c r="AY105" s="948"/>
      <c r="AZ105" s="948"/>
      <c r="BA105" s="948"/>
      <c r="BB105" s="948"/>
      <c r="BC105" s="948"/>
      <c r="BD105" s="948"/>
      <c r="BE105" s="948"/>
      <c r="BF105" s="948"/>
      <c r="BG105" s="948"/>
      <c r="BH105" s="948"/>
      <c r="BI105" s="948"/>
      <c r="BJ105" s="948"/>
      <c r="BK105" s="948"/>
      <c r="BL105" s="948"/>
      <c r="BM105" s="948"/>
      <c r="BN105" s="948"/>
      <c r="BO105" s="948"/>
      <c r="BP105" s="948"/>
      <c r="BQ105" s="948"/>
      <c r="BR105" s="948"/>
      <c r="BS105" s="948"/>
      <c r="BT105" s="948"/>
      <c r="BU105" s="948"/>
      <c r="BV105" s="948"/>
      <c r="BW105" s="948"/>
      <c r="BX105" s="948"/>
      <c r="BY105" s="948"/>
      <c r="BZ105" s="948"/>
    </row>
    <row r="106" spans="39:78" s="165" customFormat="1">
      <c r="AM106" s="948"/>
      <c r="AN106" s="948"/>
      <c r="AO106" s="948"/>
      <c r="AP106" s="948"/>
      <c r="AQ106" s="948"/>
      <c r="AR106" s="948"/>
      <c r="AS106" s="948"/>
      <c r="AT106" s="948"/>
      <c r="AU106" s="948"/>
      <c r="AV106" s="948"/>
      <c r="AW106" s="948"/>
      <c r="AX106" s="948"/>
      <c r="AY106" s="948"/>
      <c r="AZ106" s="948"/>
      <c r="BA106" s="948"/>
      <c r="BB106" s="948"/>
      <c r="BC106" s="948"/>
      <c r="BD106" s="948"/>
      <c r="BE106" s="948"/>
      <c r="BF106" s="948"/>
      <c r="BG106" s="948"/>
      <c r="BH106" s="948"/>
      <c r="BI106" s="948"/>
      <c r="BJ106" s="948"/>
      <c r="BK106" s="948"/>
      <c r="BL106" s="948"/>
      <c r="BM106" s="948"/>
      <c r="BN106" s="948"/>
      <c r="BO106" s="948"/>
      <c r="BP106" s="948"/>
      <c r="BQ106" s="948"/>
      <c r="BR106" s="948"/>
      <c r="BS106" s="948"/>
      <c r="BT106" s="948"/>
      <c r="BU106" s="948"/>
      <c r="BV106" s="948"/>
      <c r="BW106" s="948"/>
      <c r="BX106" s="948"/>
      <c r="BY106" s="948"/>
      <c r="BZ106" s="948"/>
    </row>
    <row r="107" spans="39:78" s="165" customFormat="1">
      <c r="AM107" s="948"/>
      <c r="AN107" s="948"/>
      <c r="AO107" s="948"/>
      <c r="AP107" s="948"/>
      <c r="AQ107" s="948"/>
      <c r="AR107" s="948"/>
      <c r="AS107" s="948"/>
      <c r="AT107" s="948"/>
      <c r="AU107" s="948"/>
      <c r="AV107" s="948"/>
      <c r="AW107" s="948"/>
      <c r="AX107" s="948"/>
      <c r="AY107" s="948"/>
      <c r="AZ107" s="948"/>
      <c r="BA107" s="948"/>
      <c r="BB107" s="948"/>
      <c r="BC107" s="948"/>
      <c r="BD107" s="948"/>
      <c r="BE107" s="948"/>
      <c r="BF107" s="948"/>
      <c r="BG107" s="948"/>
      <c r="BH107" s="948"/>
      <c r="BI107" s="948"/>
      <c r="BJ107" s="948"/>
      <c r="BK107" s="948"/>
      <c r="BL107" s="948"/>
      <c r="BM107" s="948"/>
      <c r="BN107" s="948"/>
      <c r="BO107" s="948"/>
      <c r="BP107" s="948"/>
      <c r="BQ107" s="948"/>
      <c r="BR107" s="948"/>
      <c r="BS107" s="948"/>
      <c r="BT107" s="948"/>
      <c r="BU107" s="948"/>
      <c r="BV107" s="948"/>
      <c r="BW107" s="948"/>
      <c r="BX107" s="948"/>
      <c r="BY107" s="948"/>
      <c r="BZ107" s="948"/>
    </row>
    <row r="108" spans="39:78" s="165" customFormat="1">
      <c r="AM108" s="948"/>
      <c r="AN108" s="948"/>
      <c r="AO108" s="948"/>
      <c r="AP108" s="948"/>
      <c r="AQ108" s="948"/>
      <c r="AR108" s="948"/>
      <c r="AS108" s="948"/>
      <c r="AT108" s="948"/>
      <c r="AU108" s="948"/>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row>
    <row r="109" spans="39:78" s="165" customFormat="1">
      <c r="AM109" s="948"/>
      <c r="AN109" s="948"/>
      <c r="AO109" s="948"/>
      <c r="AP109" s="948"/>
      <c r="AQ109" s="948"/>
      <c r="AR109" s="948"/>
      <c r="AS109" s="948"/>
      <c r="AT109" s="948"/>
      <c r="AU109" s="948"/>
      <c r="AV109" s="948"/>
      <c r="AW109" s="948"/>
      <c r="AX109" s="948"/>
      <c r="AY109" s="948"/>
      <c r="AZ109" s="948"/>
      <c r="BA109" s="948"/>
      <c r="BB109" s="948"/>
      <c r="BC109" s="948"/>
      <c r="BD109" s="948"/>
      <c r="BE109" s="948"/>
      <c r="BF109" s="948"/>
      <c r="BG109" s="948"/>
      <c r="BH109" s="948"/>
      <c r="BI109" s="948"/>
      <c r="BJ109" s="948"/>
      <c r="BK109" s="948"/>
      <c r="BL109" s="948"/>
      <c r="BM109" s="948"/>
      <c r="BN109" s="948"/>
      <c r="BO109" s="948"/>
      <c r="BP109" s="948"/>
      <c r="BQ109" s="948"/>
      <c r="BR109" s="948"/>
      <c r="BS109" s="948"/>
      <c r="BT109" s="948"/>
      <c r="BU109" s="948"/>
      <c r="BV109" s="948"/>
      <c r="BW109" s="948"/>
      <c r="BX109" s="948"/>
      <c r="BY109" s="948"/>
      <c r="BZ109" s="948"/>
    </row>
    <row r="110" spans="39:78" s="165" customFormat="1">
      <c r="AM110" s="948"/>
      <c r="AN110" s="948"/>
      <c r="AO110" s="948"/>
      <c r="AP110" s="948"/>
      <c r="AQ110" s="948"/>
      <c r="AR110" s="948"/>
      <c r="AS110" s="948"/>
      <c r="AT110" s="948"/>
      <c r="AU110" s="948"/>
      <c r="AV110" s="948"/>
      <c r="AW110" s="948"/>
      <c r="AX110" s="948"/>
      <c r="AY110" s="948"/>
      <c r="AZ110" s="948"/>
      <c r="BA110" s="948"/>
      <c r="BB110" s="948"/>
      <c r="BC110" s="948"/>
      <c r="BD110" s="948"/>
      <c r="BE110" s="948"/>
      <c r="BF110" s="948"/>
      <c r="BG110" s="948"/>
      <c r="BH110" s="948"/>
      <c r="BI110" s="948"/>
      <c r="BJ110" s="948"/>
      <c r="BK110" s="948"/>
      <c r="BL110" s="948"/>
      <c r="BM110" s="948"/>
      <c r="BN110" s="948"/>
      <c r="BO110" s="948"/>
      <c r="BP110" s="948"/>
      <c r="BQ110" s="948"/>
      <c r="BR110" s="948"/>
      <c r="BS110" s="948"/>
      <c r="BT110" s="948"/>
      <c r="BU110" s="948"/>
      <c r="BV110" s="948"/>
      <c r="BW110" s="948"/>
      <c r="BX110" s="948"/>
      <c r="BY110" s="948"/>
      <c r="BZ110" s="948"/>
    </row>
    <row r="111" spans="39:78" s="165" customFormat="1">
      <c r="AM111" s="948"/>
      <c r="AN111" s="948"/>
      <c r="AO111" s="948"/>
      <c r="AP111" s="948"/>
      <c r="AQ111" s="948"/>
      <c r="AR111" s="948"/>
      <c r="AS111" s="948"/>
      <c r="AT111" s="948"/>
      <c r="AU111" s="948"/>
      <c r="AV111" s="948"/>
      <c r="AW111" s="948"/>
      <c r="AX111" s="948"/>
      <c r="AY111" s="948"/>
      <c r="AZ111" s="948"/>
      <c r="BA111" s="948"/>
      <c r="BB111" s="948"/>
      <c r="BC111" s="948"/>
      <c r="BD111" s="948"/>
      <c r="BE111" s="948"/>
      <c r="BF111" s="948"/>
      <c r="BG111" s="948"/>
      <c r="BH111" s="948"/>
      <c r="BI111" s="948"/>
      <c r="BJ111" s="948"/>
      <c r="BK111" s="948"/>
      <c r="BL111" s="948"/>
      <c r="BM111" s="948"/>
      <c r="BN111" s="948"/>
      <c r="BO111" s="948"/>
      <c r="BP111" s="948"/>
      <c r="BQ111" s="948"/>
      <c r="BR111" s="948"/>
      <c r="BS111" s="948"/>
      <c r="BT111" s="948"/>
      <c r="BU111" s="948"/>
      <c r="BV111" s="948"/>
      <c r="BW111" s="948"/>
      <c r="BX111" s="948"/>
      <c r="BY111" s="948"/>
      <c r="BZ111" s="948"/>
    </row>
    <row r="112" spans="39:78" s="165" customFormat="1">
      <c r="AM112" s="948"/>
      <c r="AN112" s="948"/>
      <c r="AO112" s="948"/>
      <c r="AP112" s="948"/>
      <c r="AQ112" s="948"/>
      <c r="AR112" s="948"/>
      <c r="AS112" s="948"/>
      <c r="AT112" s="948"/>
      <c r="AU112" s="948"/>
      <c r="AV112" s="948"/>
      <c r="AW112" s="948"/>
      <c r="AX112" s="948"/>
      <c r="AY112" s="948"/>
      <c r="AZ112" s="948"/>
      <c r="BA112" s="948"/>
      <c r="BB112" s="948"/>
      <c r="BC112" s="948"/>
      <c r="BD112" s="948"/>
      <c r="BE112" s="948"/>
      <c r="BF112" s="948"/>
      <c r="BG112" s="948"/>
      <c r="BH112" s="948"/>
      <c r="BI112" s="948"/>
      <c r="BJ112" s="948"/>
      <c r="BK112" s="948"/>
      <c r="BL112" s="948"/>
      <c r="BM112" s="948"/>
      <c r="BN112" s="948"/>
      <c r="BO112" s="948"/>
      <c r="BP112" s="948"/>
      <c r="BQ112" s="948"/>
      <c r="BR112" s="948"/>
      <c r="BS112" s="948"/>
      <c r="BT112" s="948"/>
      <c r="BU112" s="948"/>
      <c r="BV112" s="948"/>
      <c r="BW112" s="948"/>
      <c r="BX112" s="948"/>
      <c r="BY112" s="948"/>
      <c r="BZ112" s="948"/>
    </row>
    <row r="113" spans="39:78" s="165" customFormat="1">
      <c r="AM113" s="948"/>
      <c r="AN113" s="948"/>
      <c r="AO113" s="948"/>
      <c r="AP113" s="948"/>
      <c r="AQ113" s="948"/>
      <c r="AR113" s="948"/>
      <c r="AS113" s="948"/>
      <c r="AT113" s="948"/>
      <c r="AU113" s="948"/>
      <c r="AV113" s="948"/>
      <c r="AW113" s="948"/>
      <c r="AX113" s="948"/>
      <c r="AY113" s="948"/>
      <c r="AZ113" s="948"/>
      <c r="BA113" s="948"/>
      <c r="BB113" s="948"/>
      <c r="BC113" s="948"/>
      <c r="BD113" s="948"/>
      <c r="BE113" s="948"/>
      <c r="BF113" s="948"/>
      <c r="BG113" s="948"/>
      <c r="BH113" s="948"/>
      <c r="BI113" s="948"/>
      <c r="BJ113" s="948"/>
      <c r="BK113" s="948"/>
      <c r="BL113" s="948"/>
      <c r="BM113" s="948"/>
      <c r="BN113" s="948"/>
      <c r="BO113" s="948"/>
      <c r="BP113" s="948"/>
      <c r="BQ113" s="948"/>
      <c r="BR113" s="948"/>
      <c r="BS113" s="948"/>
      <c r="BT113" s="948"/>
      <c r="BU113" s="948"/>
      <c r="BV113" s="948"/>
      <c r="BW113" s="948"/>
      <c r="BX113" s="948"/>
      <c r="BY113" s="948"/>
      <c r="BZ113" s="948"/>
    </row>
    <row r="114" spans="39:78" s="165" customFormat="1">
      <c r="AM114" s="948"/>
      <c r="AN114" s="948"/>
      <c r="AO114" s="948"/>
      <c r="AP114" s="948"/>
      <c r="AQ114" s="948"/>
      <c r="AR114" s="948"/>
      <c r="AS114" s="948"/>
      <c r="AT114" s="948"/>
      <c r="AU114" s="948"/>
      <c r="AV114" s="948"/>
      <c r="AW114" s="948"/>
      <c r="AX114" s="948"/>
      <c r="AY114" s="948"/>
      <c r="AZ114" s="948"/>
      <c r="BA114" s="948"/>
      <c r="BB114" s="948"/>
      <c r="BC114" s="948"/>
      <c r="BD114" s="948"/>
      <c r="BE114" s="948"/>
      <c r="BF114" s="948"/>
      <c r="BG114" s="948"/>
      <c r="BH114" s="948"/>
      <c r="BI114" s="948"/>
      <c r="BJ114" s="948"/>
      <c r="BK114" s="948"/>
      <c r="BL114" s="948"/>
      <c r="BM114" s="948"/>
      <c r="BN114" s="948"/>
      <c r="BO114" s="948"/>
      <c r="BP114" s="948"/>
      <c r="BQ114" s="948"/>
      <c r="BR114" s="948"/>
      <c r="BS114" s="948"/>
      <c r="BT114" s="948"/>
      <c r="BU114" s="948"/>
      <c r="BV114" s="948"/>
      <c r="BW114" s="948"/>
      <c r="BX114" s="948"/>
      <c r="BY114" s="948"/>
      <c r="BZ114" s="948"/>
    </row>
    <row r="115" spans="39:78" s="165" customFormat="1">
      <c r="AM115" s="948"/>
      <c r="AN115" s="948"/>
      <c r="AO115" s="948"/>
      <c r="AP115" s="948"/>
      <c r="AQ115" s="948"/>
      <c r="AR115" s="948"/>
      <c r="AS115" s="948"/>
      <c r="AT115" s="948"/>
      <c r="AU115" s="948"/>
      <c r="AV115" s="948"/>
      <c r="AW115" s="948"/>
      <c r="AX115" s="948"/>
      <c r="AY115" s="948"/>
      <c r="AZ115" s="948"/>
      <c r="BA115" s="948"/>
      <c r="BB115" s="948"/>
      <c r="BC115" s="948"/>
      <c r="BD115" s="948"/>
      <c r="BE115" s="948"/>
      <c r="BF115" s="948"/>
      <c r="BG115" s="948"/>
      <c r="BH115" s="948"/>
      <c r="BI115" s="948"/>
      <c r="BJ115" s="948"/>
      <c r="BK115" s="948"/>
      <c r="BL115" s="948"/>
      <c r="BM115" s="948"/>
      <c r="BN115" s="948"/>
      <c r="BO115" s="948"/>
      <c r="BP115" s="948"/>
      <c r="BQ115" s="948"/>
      <c r="BR115" s="948"/>
      <c r="BS115" s="948"/>
      <c r="BT115" s="948"/>
      <c r="BU115" s="948"/>
      <c r="BV115" s="948"/>
      <c r="BW115" s="948"/>
      <c r="BX115" s="948"/>
      <c r="BY115" s="948"/>
      <c r="BZ115" s="948"/>
    </row>
    <row r="116" spans="39:78" s="165" customFormat="1">
      <c r="AM116" s="948"/>
      <c r="AN116" s="948"/>
      <c r="AO116" s="948"/>
      <c r="AP116" s="948"/>
      <c r="AQ116" s="948"/>
      <c r="AR116" s="948"/>
      <c r="AS116" s="948"/>
      <c r="AT116" s="948"/>
      <c r="AU116" s="948"/>
      <c r="AV116" s="948"/>
      <c r="AW116" s="948"/>
      <c r="AX116" s="948"/>
      <c r="AY116" s="948"/>
      <c r="AZ116" s="948"/>
      <c r="BA116" s="948"/>
      <c r="BB116" s="948"/>
      <c r="BC116" s="948"/>
      <c r="BD116" s="948"/>
      <c r="BE116" s="948"/>
      <c r="BF116" s="948"/>
      <c r="BG116" s="948"/>
      <c r="BH116" s="948"/>
      <c r="BI116" s="948"/>
      <c r="BJ116" s="948"/>
      <c r="BK116" s="948"/>
      <c r="BL116" s="948"/>
      <c r="BM116" s="948"/>
      <c r="BN116" s="948"/>
      <c r="BO116" s="948"/>
      <c r="BP116" s="948"/>
      <c r="BQ116" s="948"/>
      <c r="BR116" s="948"/>
      <c r="BS116" s="948"/>
      <c r="BT116" s="948"/>
      <c r="BU116" s="948"/>
      <c r="BV116" s="948"/>
      <c r="BW116" s="948"/>
      <c r="BX116" s="948"/>
      <c r="BY116" s="948"/>
      <c r="BZ116" s="948"/>
    </row>
    <row r="117" spans="39:78" s="165" customFormat="1">
      <c r="AM117" s="948"/>
      <c r="AN117" s="948"/>
      <c r="AO117" s="948"/>
      <c r="AP117" s="948"/>
      <c r="AQ117" s="948"/>
      <c r="AR117" s="948"/>
      <c r="AS117" s="948"/>
      <c r="AT117" s="948"/>
      <c r="AU117" s="948"/>
      <c r="AV117" s="948"/>
      <c r="AW117" s="948"/>
      <c r="AX117" s="948"/>
      <c r="AY117" s="948"/>
      <c r="AZ117" s="948"/>
      <c r="BA117" s="948"/>
      <c r="BB117" s="948"/>
      <c r="BC117" s="948"/>
      <c r="BD117" s="948"/>
      <c r="BE117" s="948"/>
      <c r="BF117" s="948"/>
      <c r="BG117" s="948"/>
      <c r="BH117" s="948"/>
      <c r="BI117" s="948"/>
      <c r="BJ117" s="948"/>
      <c r="BK117" s="948"/>
      <c r="BL117" s="948"/>
      <c r="BM117" s="948"/>
      <c r="BN117" s="948"/>
      <c r="BO117" s="948"/>
      <c r="BP117" s="948"/>
      <c r="BQ117" s="948"/>
      <c r="BR117" s="948"/>
      <c r="BS117" s="948"/>
      <c r="BT117" s="948"/>
      <c r="BU117" s="948"/>
      <c r="BV117" s="948"/>
      <c r="BW117" s="948"/>
      <c r="BX117" s="948"/>
      <c r="BY117" s="948"/>
      <c r="BZ117" s="948"/>
    </row>
    <row r="118" spans="39:78" s="165" customFormat="1">
      <c r="AM118" s="948"/>
      <c r="AN118" s="948"/>
      <c r="AO118" s="948"/>
      <c r="AP118" s="948"/>
      <c r="AQ118" s="948"/>
      <c r="AR118" s="948"/>
      <c r="AS118" s="948"/>
      <c r="AT118" s="948"/>
      <c r="AU118" s="948"/>
      <c r="AV118" s="948"/>
      <c r="AW118" s="948"/>
      <c r="AX118" s="948"/>
      <c r="AY118" s="948"/>
      <c r="AZ118" s="948"/>
      <c r="BA118" s="948"/>
      <c r="BB118" s="948"/>
      <c r="BC118" s="948"/>
      <c r="BD118" s="948"/>
      <c r="BE118" s="948"/>
      <c r="BF118" s="948"/>
      <c r="BG118" s="948"/>
      <c r="BH118" s="948"/>
      <c r="BI118" s="948"/>
      <c r="BJ118" s="948"/>
      <c r="BK118" s="948"/>
      <c r="BL118" s="948"/>
      <c r="BM118" s="948"/>
      <c r="BN118" s="948"/>
      <c r="BO118" s="948"/>
      <c r="BP118" s="948"/>
      <c r="BQ118" s="948"/>
      <c r="BR118" s="948"/>
      <c r="BS118" s="948"/>
      <c r="BT118" s="948"/>
      <c r="BU118" s="948"/>
      <c r="BV118" s="948"/>
      <c r="BW118" s="948"/>
      <c r="BX118" s="948"/>
      <c r="BY118" s="948"/>
      <c r="BZ118" s="948"/>
    </row>
    <row r="119" spans="39:78" s="165" customFormat="1">
      <c r="AM119" s="948"/>
      <c r="AN119" s="948"/>
      <c r="AO119" s="948"/>
      <c r="AP119" s="948"/>
      <c r="AQ119" s="948"/>
      <c r="AR119" s="948"/>
      <c r="AS119" s="948"/>
      <c r="AT119" s="948"/>
      <c r="AU119" s="948"/>
      <c r="AV119" s="948"/>
      <c r="AW119" s="948"/>
      <c r="AX119" s="948"/>
      <c r="AY119" s="948"/>
      <c r="AZ119" s="948"/>
      <c r="BA119" s="948"/>
      <c r="BB119" s="948"/>
      <c r="BC119" s="948"/>
      <c r="BD119" s="948"/>
      <c r="BE119" s="948"/>
      <c r="BF119" s="948"/>
      <c r="BG119" s="948"/>
      <c r="BH119" s="948"/>
      <c r="BI119" s="948"/>
      <c r="BJ119" s="948"/>
      <c r="BK119" s="948"/>
      <c r="BL119" s="948"/>
      <c r="BM119" s="948"/>
      <c r="BN119" s="948"/>
      <c r="BO119" s="948"/>
      <c r="BP119" s="948"/>
      <c r="BQ119" s="948"/>
      <c r="BR119" s="948"/>
      <c r="BS119" s="948"/>
      <c r="BT119" s="948"/>
      <c r="BU119" s="948"/>
      <c r="BV119" s="948"/>
      <c r="BW119" s="948"/>
      <c r="BX119" s="948"/>
      <c r="BY119" s="948"/>
      <c r="BZ119" s="948"/>
    </row>
    <row r="120" spans="39:78" s="165" customFormat="1">
      <c r="AM120" s="948"/>
      <c r="AN120" s="948"/>
      <c r="AO120" s="948"/>
      <c r="AP120" s="948"/>
      <c r="AQ120" s="948"/>
      <c r="AR120" s="948"/>
      <c r="AS120" s="948"/>
      <c r="AT120" s="948"/>
      <c r="AU120" s="948"/>
      <c r="AV120" s="948"/>
      <c r="AW120" s="948"/>
      <c r="AX120" s="948"/>
      <c r="AY120" s="948"/>
      <c r="AZ120" s="948"/>
      <c r="BA120" s="948"/>
      <c r="BB120" s="948"/>
      <c r="BC120" s="948"/>
      <c r="BD120" s="948"/>
      <c r="BE120" s="948"/>
      <c r="BF120" s="948"/>
      <c r="BG120" s="948"/>
      <c r="BH120" s="948"/>
      <c r="BI120" s="948"/>
      <c r="BJ120" s="948"/>
      <c r="BK120" s="948"/>
      <c r="BL120" s="948"/>
      <c r="BM120" s="948"/>
      <c r="BN120" s="948"/>
      <c r="BO120" s="948"/>
      <c r="BP120" s="948"/>
      <c r="BQ120" s="948"/>
      <c r="BR120" s="948"/>
      <c r="BS120" s="948"/>
      <c r="BT120" s="948"/>
      <c r="BU120" s="948"/>
      <c r="BV120" s="948"/>
      <c r="BW120" s="948"/>
      <c r="BX120" s="948"/>
      <c r="BY120" s="948"/>
      <c r="BZ120" s="948"/>
    </row>
    <row r="121" spans="39:78" s="165" customFormat="1">
      <c r="AM121" s="948"/>
      <c r="AN121" s="948"/>
      <c r="AO121" s="948"/>
      <c r="AP121" s="948"/>
      <c r="AQ121" s="948"/>
      <c r="AR121" s="948"/>
      <c r="AS121" s="948"/>
      <c r="AT121" s="948"/>
      <c r="AU121" s="948"/>
      <c r="AV121" s="948"/>
      <c r="AW121" s="948"/>
      <c r="AX121" s="948"/>
      <c r="AY121" s="948"/>
      <c r="AZ121" s="948"/>
      <c r="BA121" s="948"/>
      <c r="BB121" s="948"/>
      <c r="BC121" s="948"/>
      <c r="BD121" s="948"/>
      <c r="BE121" s="948"/>
      <c r="BF121" s="948"/>
      <c r="BG121" s="948"/>
      <c r="BH121" s="948"/>
      <c r="BI121" s="948"/>
      <c r="BJ121" s="948"/>
      <c r="BK121" s="948"/>
      <c r="BL121" s="948"/>
      <c r="BM121" s="948"/>
      <c r="BN121" s="948"/>
      <c r="BO121" s="948"/>
      <c r="BP121" s="948"/>
      <c r="BQ121" s="948"/>
      <c r="BR121" s="948"/>
      <c r="BS121" s="948"/>
      <c r="BT121" s="948"/>
      <c r="BU121" s="948"/>
      <c r="BV121" s="948"/>
      <c r="BW121" s="948"/>
      <c r="BX121" s="948"/>
      <c r="BY121" s="948"/>
      <c r="BZ121" s="948"/>
    </row>
    <row r="122" spans="39:78" s="165" customFormat="1">
      <c r="AM122" s="948"/>
      <c r="AN122" s="948"/>
      <c r="AO122" s="948"/>
      <c r="AP122" s="948"/>
      <c r="AQ122" s="948"/>
      <c r="AR122" s="948"/>
      <c r="AS122" s="948"/>
      <c r="AT122" s="948"/>
      <c r="AU122" s="948"/>
      <c r="AV122" s="948"/>
      <c r="AW122" s="948"/>
      <c r="AX122" s="948"/>
      <c r="AY122" s="948"/>
      <c r="AZ122" s="948"/>
      <c r="BA122" s="948"/>
      <c r="BB122" s="948"/>
      <c r="BC122" s="948"/>
      <c r="BD122" s="948"/>
      <c r="BE122" s="948"/>
      <c r="BF122" s="948"/>
      <c r="BG122" s="948"/>
      <c r="BH122" s="948"/>
      <c r="BI122" s="948"/>
      <c r="BJ122" s="948"/>
      <c r="BK122" s="948"/>
      <c r="BL122" s="948"/>
      <c r="BM122" s="948"/>
      <c r="BN122" s="948"/>
      <c r="BO122" s="948"/>
      <c r="BP122" s="948"/>
      <c r="BQ122" s="948"/>
      <c r="BR122" s="948"/>
      <c r="BS122" s="948"/>
      <c r="BT122" s="948"/>
      <c r="BU122" s="948"/>
      <c r="BV122" s="948"/>
      <c r="BW122" s="948"/>
      <c r="BX122" s="948"/>
      <c r="BY122" s="948"/>
      <c r="BZ122" s="948"/>
    </row>
    <row r="123" spans="39:78" s="165" customFormat="1">
      <c r="AM123" s="948"/>
      <c r="AN123" s="948"/>
      <c r="AO123" s="948"/>
      <c r="AP123" s="948"/>
      <c r="AQ123" s="948"/>
      <c r="AR123" s="948"/>
      <c r="AS123" s="948"/>
      <c r="AT123" s="948"/>
      <c r="AU123" s="948"/>
      <c r="AV123" s="948"/>
      <c r="AW123" s="948"/>
      <c r="AX123" s="948"/>
      <c r="AY123" s="948"/>
      <c r="AZ123" s="948"/>
      <c r="BA123" s="948"/>
      <c r="BB123" s="948"/>
      <c r="BC123" s="948"/>
      <c r="BD123" s="948"/>
      <c r="BE123" s="948"/>
      <c r="BF123" s="948"/>
      <c r="BG123" s="948"/>
      <c r="BH123" s="948"/>
      <c r="BI123" s="948"/>
      <c r="BJ123" s="948"/>
      <c r="BK123" s="948"/>
      <c r="BL123" s="948"/>
      <c r="BM123" s="948"/>
      <c r="BN123" s="948"/>
      <c r="BO123" s="948"/>
      <c r="BP123" s="948"/>
      <c r="BQ123" s="948"/>
      <c r="BR123" s="948"/>
      <c r="BS123" s="948"/>
      <c r="BT123" s="948"/>
      <c r="BU123" s="948"/>
      <c r="BV123" s="948"/>
      <c r="BW123" s="948"/>
      <c r="BX123" s="948"/>
      <c r="BY123" s="948"/>
      <c r="BZ123" s="948"/>
    </row>
    <row r="124" spans="39:78" s="165" customFormat="1">
      <c r="AM124" s="948"/>
      <c r="AN124" s="948"/>
      <c r="AO124" s="948"/>
      <c r="AP124" s="948"/>
      <c r="AQ124" s="948"/>
      <c r="AR124" s="948"/>
      <c r="AS124" s="948"/>
      <c r="AT124" s="948"/>
      <c r="AU124" s="948"/>
      <c r="AV124" s="948"/>
      <c r="AW124" s="948"/>
      <c r="AX124" s="948"/>
      <c r="AY124" s="948"/>
      <c r="AZ124" s="948"/>
      <c r="BA124" s="948"/>
      <c r="BB124" s="948"/>
      <c r="BC124" s="948"/>
      <c r="BD124" s="948"/>
      <c r="BE124" s="948"/>
      <c r="BF124" s="948"/>
      <c r="BG124" s="948"/>
      <c r="BH124" s="948"/>
      <c r="BI124" s="948"/>
      <c r="BJ124" s="948"/>
      <c r="BK124" s="948"/>
      <c r="BL124" s="948"/>
      <c r="BM124" s="948"/>
      <c r="BN124" s="948"/>
      <c r="BO124" s="948"/>
      <c r="BP124" s="948"/>
      <c r="BQ124" s="948"/>
      <c r="BR124" s="948"/>
      <c r="BS124" s="948"/>
      <c r="BT124" s="948"/>
      <c r="BU124" s="948"/>
      <c r="BV124" s="948"/>
      <c r="BW124" s="948"/>
      <c r="BX124" s="948"/>
      <c r="BY124" s="948"/>
      <c r="BZ124" s="948"/>
    </row>
    <row r="125" spans="39:78" s="165" customFormat="1">
      <c r="AM125" s="948"/>
      <c r="AN125" s="948"/>
      <c r="AO125" s="948"/>
      <c r="AP125" s="948"/>
      <c r="AQ125" s="948"/>
      <c r="AR125" s="948"/>
      <c r="AS125" s="948"/>
      <c r="AT125" s="948"/>
      <c r="AU125" s="948"/>
      <c r="AV125" s="948"/>
      <c r="AW125" s="948"/>
      <c r="AX125" s="948"/>
      <c r="AY125" s="948"/>
      <c r="AZ125" s="948"/>
      <c r="BA125" s="948"/>
      <c r="BB125" s="948"/>
      <c r="BC125" s="948"/>
      <c r="BD125" s="948"/>
      <c r="BE125" s="948"/>
      <c r="BF125" s="948"/>
      <c r="BG125" s="948"/>
      <c r="BH125" s="948"/>
      <c r="BI125" s="948"/>
      <c r="BJ125" s="948"/>
      <c r="BK125" s="948"/>
      <c r="BL125" s="948"/>
      <c r="BM125" s="948"/>
      <c r="BN125" s="948"/>
      <c r="BO125" s="948"/>
      <c r="BP125" s="948"/>
      <c r="BQ125" s="948"/>
      <c r="BR125" s="948"/>
      <c r="BS125" s="948"/>
      <c r="BT125" s="948"/>
      <c r="BU125" s="948"/>
      <c r="BV125" s="948"/>
      <c r="BW125" s="948"/>
      <c r="BX125" s="948"/>
      <c r="BY125" s="948"/>
      <c r="BZ125" s="948"/>
    </row>
    <row r="126" spans="39:78" s="165" customFormat="1">
      <c r="AM126" s="948"/>
      <c r="AN126" s="948"/>
      <c r="AO126" s="948"/>
      <c r="AP126" s="948"/>
      <c r="AQ126" s="948"/>
      <c r="AR126" s="948"/>
      <c r="AS126" s="948"/>
      <c r="AT126" s="948"/>
      <c r="AU126" s="948"/>
      <c r="AV126" s="948"/>
      <c r="AW126" s="948"/>
      <c r="AX126" s="948"/>
      <c r="AY126" s="948"/>
      <c r="AZ126" s="948"/>
      <c r="BA126" s="948"/>
      <c r="BB126" s="948"/>
      <c r="BC126" s="948"/>
      <c r="BD126" s="948"/>
      <c r="BE126" s="948"/>
      <c r="BF126" s="948"/>
      <c r="BG126" s="948"/>
      <c r="BH126" s="948"/>
      <c r="BI126" s="948"/>
      <c r="BJ126" s="948"/>
      <c r="BK126" s="948"/>
      <c r="BL126" s="948"/>
      <c r="BM126" s="948"/>
      <c r="BN126" s="948"/>
      <c r="BO126" s="948"/>
      <c r="BP126" s="948"/>
      <c r="BQ126" s="948"/>
      <c r="BR126" s="948"/>
      <c r="BS126" s="948"/>
      <c r="BT126" s="948"/>
      <c r="BU126" s="948"/>
      <c r="BV126" s="948"/>
      <c r="BW126" s="948"/>
      <c r="BX126" s="948"/>
      <c r="BY126" s="948"/>
      <c r="BZ126" s="948"/>
    </row>
    <row r="127" spans="39:78" s="165" customFormat="1">
      <c r="AM127" s="948"/>
      <c r="AN127" s="948"/>
      <c r="AO127" s="948"/>
      <c r="AP127" s="948"/>
      <c r="AQ127" s="948"/>
      <c r="AR127" s="948"/>
      <c r="AS127" s="948"/>
      <c r="AT127" s="948"/>
      <c r="AU127" s="948"/>
      <c r="AV127" s="948"/>
      <c r="AW127" s="948"/>
      <c r="AX127" s="948"/>
      <c r="AY127" s="948"/>
      <c r="AZ127" s="948"/>
      <c r="BA127" s="948"/>
      <c r="BB127" s="948"/>
      <c r="BC127" s="948"/>
      <c r="BD127" s="948"/>
      <c r="BE127" s="948"/>
      <c r="BF127" s="948"/>
      <c r="BG127" s="948"/>
      <c r="BH127" s="948"/>
      <c r="BI127" s="948"/>
      <c r="BJ127" s="948"/>
      <c r="BK127" s="948"/>
      <c r="BL127" s="948"/>
      <c r="BM127" s="948"/>
      <c r="BN127" s="948"/>
      <c r="BO127" s="948"/>
      <c r="BP127" s="948"/>
      <c r="BQ127" s="948"/>
      <c r="BR127" s="948"/>
      <c r="BS127" s="948"/>
      <c r="BT127" s="948"/>
      <c r="BU127" s="948"/>
      <c r="BV127" s="948"/>
      <c r="BW127" s="948"/>
      <c r="BX127" s="948"/>
      <c r="BY127" s="948"/>
      <c r="BZ127" s="948"/>
    </row>
    <row r="128" spans="39:78" s="165" customFormat="1">
      <c r="AM128" s="948"/>
      <c r="AN128" s="948"/>
      <c r="AO128" s="948"/>
      <c r="AP128" s="948"/>
      <c r="AQ128" s="948"/>
      <c r="AR128" s="948"/>
      <c r="AS128" s="948"/>
      <c r="AT128" s="948"/>
      <c r="AU128" s="948"/>
      <c r="AV128" s="948"/>
      <c r="AW128" s="948"/>
      <c r="AX128" s="948"/>
      <c r="AY128" s="948"/>
      <c r="AZ128" s="948"/>
      <c r="BA128" s="948"/>
      <c r="BB128" s="948"/>
      <c r="BC128" s="948"/>
      <c r="BD128" s="948"/>
      <c r="BE128" s="948"/>
      <c r="BF128" s="948"/>
      <c r="BG128" s="948"/>
      <c r="BH128" s="948"/>
      <c r="BI128" s="948"/>
      <c r="BJ128" s="948"/>
      <c r="BK128" s="948"/>
      <c r="BL128" s="948"/>
      <c r="BM128" s="948"/>
      <c r="BN128" s="948"/>
      <c r="BO128" s="948"/>
      <c r="BP128" s="948"/>
      <c r="BQ128" s="948"/>
      <c r="BR128" s="948"/>
      <c r="BS128" s="948"/>
      <c r="BT128" s="948"/>
      <c r="BU128" s="948"/>
      <c r="BV128" s="948"/>
      <c r="BW128" s="948"/>
      <c r="BX128" s="948"/>
      <c r="BY128" s="948"/>
      <c r="BZ128" s="948"/>
    </row>
    <row r="129" spans="39:78" s="165" customFormat="1">
      <c r="AM129" s="948"/>
      <c r="AN129" s="948"/>
      <c r="AO129" s="948"/>
      <c r="AP129" s="948"/>
      <c r="AQ129" s="948"/>
      <c r="AR129" s="948"/>
      <c r="AS129" s="948"/>
      <c r="AT129" s="948"/>
      <c r="AU129" s="948"/>
      <c r="AV129" s="948"/>
      <c r="AW129" s="948"/>
      <c r="AX129" s="948"/>
      <c r="AY129" s="948"/>
      <c r="AZ129" s="948"/>
      <c r="BA129" s="948"/>
      <c r="BB129" s="948"/>
      <c r="BC129" s="948"/>
      <c r="BD129" s="948"/>
      <c r="BE129" s="948"/>
      <c r="BF129" s="948"/>
      <c r="BG129" s="948"/>
      <c r="BH129" s="948"/>
      <c r="BI129" s="948"/>
      <c r="BJ129" s="948"/>
      <c r="BK129" s="948"/>
      <c r="BL129" s="948"/>
      <c r="BM129" s="948"/>
      <c r="BN129" s="948"/>
      <c r="BO129" s="948"/>
      <c r="BP129" s="948"/>
      <c r="BQ129" s="948"/>
      <c r="BR129" s="948"/>
      <c r="BS129" s="948"/>
      <c r="BT129" s="948"/>
      <c r="BU129" s="948"/>
      <c r="BV129" s="948"/>
      <c r="BW129" s="948"/>
      <c r="BX129" s="948"/>
      <c r="BY129" s="948"/>
      <c r="BZ129" s="948"/>
    </row>
    <row r="130" spans="39:78" s="165" customFormat="1">
      <c r="AM130" s="948"/>
      <c r="AN130" s="948"/>
      <c r="AO130" s="948"/>
      <c r="AP130" s="948"/>
      <c r="AQ130" s="948"/>
      <c r="AR130" s="948"/>
      <c r="AS130" s="948"/>
      <c r="AT130" s="948"/>
      <c r="AU130" s="948"/>
      <c r="AV130" s="948"/>
      <c r="AW130" s="948"/>
      <c r="AX130" s="948"/>
      <c r="AY130" s="948"/>
      <c r="AZ130" s="948"/>
      <c r="BA130" s="948"/>
      <c r="BB130" s="948"/>
      <c r="BC130" s="948"/>
      <c r="BD130" s="948"/>
      <c r="BE130" s="948"/>
      <c r="BF130" s="948"/>
      <c r="BG130" s="948"/>
      <c r="BH130" s="948"/>
      <c r="BI130" s="948"/>
      <c r="BJ130" s="948"/>
      <c r="BK130" s="948"/>
      <c r="BL130" s="948"/>
      <c r="BM130" s="948"/>
      <c r="BN130" s="948"/>
      <c r="BO130" s="948"/>
      <c r="BP130" s="948"/>
      <c r="BQ130" s="948"/>
      <c r="BR130" s="948"/>
      <c r="BS130" s="948"/>
      <c r="BT130" s="948"/>
      <c r="BU130" s="948"/>
      <c r="BV130" s="948"/>
      <c r="BW130" s="948"/>
      <c r="BX130" s="948"/>
      <c r="BY130" s="948"/>
      <c r="BZ130" s="948"/>
    </row>
    <row r="131" spans="39:78" s="165" customFormat="1">
      <c r="AM131" s="948"/>
      <c r="AN131" s="948"/>
      <c r="AO131" s="948"/>
      <c r="AP131" s="948"/>
      <c r="AQ131" s="948"/>
      <c r="AR131" s="948"/>
      <c r="AS131" s="948"/>
      <c r="AT131" s="948"/>
      <c r="AU131" s="948"/>
      <c r="AV131" s="948"/>
      <c r="AW131" s="948"/>
      <c r="AX131" s="948"/>
      <c r="AY131" s="948"/>
      <c r="AZ131" s="948"/>
      <c r="BA131" s="948"/>
      <c r="BB131" s="948"/>
      <c r="BC131" s="948"/>
      <c r="BD131" s="948"/>
      <c r="BE131" s="948"/>
      <c r="BF131" s="948"/>
      <c r="BG131" s="948"/>
      <c r="BH131" s="948"/>
      <c r="BI131" s="948"/>
      <c r="BJ131" s="948"/>
      <c r="BK131" s="948"/>
      <c r="BL131" s="948"/>
      <c r="BM131" s="948"/>
      <c r="BN131" s="948"/>
      <c r="BO131" s="948"/>
      <c r="BP131" s="948"/>
      <c r="BQ131" s="948"/>
      <c r="BR131" s="948"/>
      <c r="BS131" s="948"/>
      <c r="BT131" s="948"/>
      <c r="BU131" s="948"/>
      <c r="BV131" s="948"/>
      <c r="BW131" s="948"/>
      <c r="BX131" s="948"/>
      <c r="BY131" s="948"/>
      <c r="BZ131" s="948"/>
    </row>
    <row r="132" spans="39:78" s="165" customFormat="1">
      <c r="AM132" s="948"/>
      <c r="AN132" s="948"/>
      <c r="AO132" s="948"/>
      <c r="AP132" s="948"/>
      <c r="AQ132" s="948"/>
      <c r="AR132" s="948"/>
      <c r="AS132" s="948"/>
      <c r="AT132" s="948"/>
      <c r="AU132" s="948"/>
      <c r="AV132" s="948"/>
      <c r="AW132" s="948"/>
      <c r="AX132" s="948"/>
      <c r="AY132" s="948"/>
      <c r="AZ132" s="948"/>
      <c r="BA132" s="948"/>
      <c r="BB132" s="948"/>
      <c r="BC132" s="948"/>
      <c r="BD132" s="948"/>
      <c r="BE132" s="948"/>
      <c r="BF132" s="948"/>
      <c r="BG132" s="948"/>
      <c r="BH132" s="948"/>
      <c r="BI132" s="948"/>
      <c r="BJ132" s="948"/>
      <c r="BK132" s="948"/>
      <c r="BL132" s="948"/>
      <c r="BM132" s="948"/>
      <c r="BN132" s="948"/>
      <c r="BO132" s="948"/>
      <c r="BP132" s="948"/>
      <c r="BQ132" s="948"/>
      <c r="BR132" s="948"/>
      <c r="BS132" s="948"/>
      <c r="BT132" s="948"/>
      <c r="BU132" s="948"/>
      <c r="BV132" s="948"/>
      <c r="BW132" s="948"/>
      <c r="BX132" s="948"/>
      <c r="BY132" s="948"/>
      <c r="BZ132" s="948"/>
    </row>
    <row r="133" spans="39:78" s="165" customFormat="1">
      <c r="AM133" s="948"/>
      <c r="AN133" s="948"/>
      <c r="AO133" s="948"/>
      <c r="AP133" s="948"/>
      <c r="AQ133" s="948"/>
      <c r="AR133" s="948"/>
      <c r="AS133" s="948"/>
      <c r="AT133" s="948"/>
      <c r="AU133" s="948"/>
      <c r="AV133" s="948"/>
      <c r="AW133" s="948"/>
      <c r="AX133" s="948"/>
      <c r="AY133" s="948"/>
      <c r="AZ133" s="948"/>
      <c r="BA133" s="948"/>
      <c r="BB133" s="948"/>
      <c r="BC133" s="948"/>
      <c r="BD133" s="948"/>
      <c r="BE133" s="948"/>
      <c r="BF133" s="948"/>
      <c r="BG133" s="948"/>
      <c r="BH133" s="948"/>
      <c r="BI133" s="948"/>
      <c r="BJ133" s="948"/>
      <c r="BK133" s="948"/>
      <c r="BL133" s="948"/>
      <c r="BM133" s="948"/>
      <c r="BN133" s="948"/>
      <c r="BO133" s="948"/>
      <c r="BP133" s="948"/>
      <c r="BQ133" s="948"/>
      <c r="BR133" s="948"/>
      <c r="BS133" s="948"/>
      <c r="BT133" s="948"/>
      <c r="BU133" s="948"/>
      <c r="BV133" s="948"/>
      <c r="BW133" s="948"/>
      <c r="BX133" s="948"/>
      <c r="BY133" s="948"/>
      <c r="BZ133" s="948"/>
    </row>
    <row r="134" spans="39:78" s="165" customFormat="1">
      <c r="AM134" s="948"/>
      <c r="AN134" s="948"/>
      <c r="AO134" s="948"/>
      <c r="AP134" s="948"/>
      <c r="AQ134" s="948"/>
      <c r="AR134" s="948"/>
      <c r="AS134" s="948"/>
      <c r="AT134" s="948"/>
      <c r="AU134" s="948"/>
      <c r="AV134" s="948"/>
      <c r="AW134" s="948"/>
      <c r="AX134" s="948"/>
      <c r="AY134" s="948"/>
      <c r="AZ134" s="948"/>
      <c r="BA134" s="948"/>
      <c r="BB134" s="948"/>
      <c r="BC134" s="948"/>
      <c r="BD134" s="948"/>
      <c r="BE134" s="948"/>
      <c r="BF134" s="948"/>
      <c r="BG134" s="948"/>
      <c r="BH134" s="948"/>
      <c r="BI134" s="948"/>
      <c r="BJ134" s="948"/>
      <c r="BK134" s="948"/>
      <c r="BL134" s="948"/>
      <c r="BM134" s="948"/>
      <c r="BN134" s="948"/>
      <c r="BO134" s="948"/>
      <c r="BP134" s="948"/>
      <c r="BQ134" s="948"/>
      <c r="BR134" s="948"/>
      <c r="BS134" s="948"/>
      <c r="BT134" s="948"/>
      <c r="BU134" s="948"/>
      <c r="BV134" s="948"/>
      <c r="BW134" s="948"/>
      <c r="BX134" s="948"/>
      <c r="BY134" s="948"/>
      <c r="BZ134" s="948"/>
    </row>
    <row r="135" spans="39:78" s="165" customFormat="1">
      <c r="AM135" s="948"/>
      <c r="AN135" s="948"/>
      <c r="AO135" s="948"/>
      <c r="AP135" s="948"/>
      <c r="AQ135" s="948"/>
      <c r="AR135" s="948"/>
      <c r="AS135" s="948"/>
      <c r="AT135" s="948"/>
      <c r="AU135" s="948"/>
      <c r="AV135" s="948"/>
      <c r="AW135" s="948"/>
      <c r="AX135" s="948"/>
      <c r="AY135" s="948"/>
      <c r="AZ135" s="948"/>
      <c r="BA135" s="948"/>
      <c r="BB135" s="948"/>
      <c r="BC135" s="948"/>
      <c r="BD135" s="948"/>
      <c r="BE135" s="948"/>
      <c r="BF135" s="948"/>
      <c r="BG135" s="948"/>
      <c r="BH135" s="948"/>
      <c r="BI135" s="948"/>
      <c r="BJ135" s="948"/>
      <c r="BK135" s="948"/>
      <c r="BL135" s="948"/>
      <c r="BM135" s="948"/>
      <c r="BN135" s="948"/>
      <c r="BO135" s="948"/>
      <c r="BP135" s="948"/>
      <c r="BQ135" s="948"/>
      <c r="BR135" s="948"/>
      <c r="BS135" s="948"/>
      <c r="BT135" s="948"/>
      <c r="BU135" s="948"/>
      <c r="BV135" s="948"/>
      <c r="BW135" s="948"/>
      <c r="BX135" s="948"/>
      <c r="BY135" s="948"/>
      <c r="BZ135" s="948"/>
    </row>
    <row r="136" spans="39:78" s="165" customFormat="1">
      <c r="AM136" s="948"/>
      <c r="AN136" s="948"/>
      <c r="AO136" s="948"/>
      <c r="AP136" s="948"/>
      <c r="AQ136" s="948"/>
      <c r="AR136" s="948"/>
      <c r="AS136" s="948"/>
      <c r="AT136" s="948"/>
      <c r="AU136" s="948"/>
      <c r="AV136" s="948"/>
      <c r="AW136" s="948"/>
      <c r="AX136" s="948"/>
      <c r="AY136" s="948"/>
      <c r="AZ136" s="948"/>
      <c r="BA136" s="948"/>
      <c r="BB136" s="948"/>
      <c r="BC136" s="948"/>
      <c r="BD136" s="948"/>
      <c r="BE136" s="948"/>
      <c r="BF136" s="948"/>
      <c r="BG136" s="948"/>
      <c r="BH136" s="948"/>
      <c r="BI136" s="948"/>
      <c r="BJ136" s="948"/>
      <c r="BK136" s="948"/>
      <c r="BL136" s="948"/>
      <c r="BM136" s="948"/>
      <c r="BN136" s="948"/>
      <c r="BO136" s="948"/>
      <c r="BP136" s="948"/>
      <c r="BQ136" s="948"/>
      <c r="BR136" s="948"/>
      <c r="BS136" s="948"/>
      <c r="BT136" s="948"/>
      <c r="BU136" s="948"/>
      <c r="BV136" s="948"/>
      <c r="BW136" s="948"/>
      <c r="BX136" s="948"/>
      <c r="BY136" s="948"/>
      <c r="BZ136" s="948"/>
    </row>
    <row r="137" spans="39:78" s="165" customFormat="1">
      <c r="AM137" s="948"/>
      <c r="AN137" s="948"/>
      <c r="AO137" s="948"/>
      <c r="AP137" s="948"/>
      <c r="AQ137" s="948"/>
      <c r="AR137" s="948"/>
      <c r="AS137" s="948"/>
      <c r="AT137" s="948"/>
      <c r="AU137" s="948"/>
      <c r="AV137" s="948"/>
      <c r="AW137" s="948"/>
      <c r="AX137" s="948"/>
      <c r="AY137" s="948"/>
      <c r="AZ137" s="948"/>
      <c r="BA137" s="948"/>
      <c r="BB137" s="948"/>
      <c r="BC137" s="948"/>
      <c r="BD137" s="948"/>
      <c r="BE137" s="948"/>
      <c r="BF137" s="948"/>
      <c r="BG137" s="948"/>
      <c r="BH137" s="948"/>
      <c r="BI137" s="948"/>
      <c r="BJ137" s="948"/>
      <c r="BK137" s="948"/>
      <c r="BL137" s="948"/>
      <c r="BM137" s="948"/>
      <c r="BN137" s="948"/>
      <c r="BO137" s="948"/>
      <c r="BP137" s="948"/>
      <c r="BQ137" s="948"/>
      <c r="BR137" s="948"/>
      <c r="BS137" s="948"/>
      <c r="BT137" s="948"/>
      <c r="BU137" s="948"/>
      <c r="BV137" s="948"/>
      <c r="BW137" s="948"/>
      <c r="BX137" s="948"/>
      <c r="BY137" s="948"/>
      <c r="BZ137" s="948"/>
    </row>
    <row r="138" spans="39:78" s="165" customFormat="1">
      <c r="AM138" s="948"/>
      <c r="AN138" s="948"/>
      <c r="AO138" s="948"/>
      <c r="AP138" s="948"/>
      <c r="AQ138" s="948"/>
      <c r="AR138" s="948"/>
      <c r="AS138" s="948"/>
      <c r="AT138" s="948"/>
      <c r="AU138" s="948"/>
      <c r="AV138" s="948"/>
      <c r="AW138" s="948"/>
      <c r="AX138" s="948"/>
      <c r="AY138" s="948"/>
      <c r="AZ138" s="948"/>
      <c r="BA138" s="948"/>
      <c r="BB138" s="948"/>
      <c r="BC138" s="948"/>
      <c r="BD138" s="948"/>
      <c r="BE138" s="948"/>
      <c r="BF138" s="948"/>
      <c r="BG138" s="948"/>
      <c r="BH138" s="948"/>
      <c r="BI138" s="948"/>
      <c r="BJ138" s="948"/>
      <c r="BK138" s="948"/>
      <c r="BL138" s="948"/>
      <c r="BM138" s="948"/>
      <c r="BN138" s="948"/>
      <c r="BO138" s="948"/>
      <c r="BP138" s="948"/>
      <c r="BQ138" s="948"/>
      <c r="BR138" s="948"/>
      <c r="BS138" s="948"/>
      <c r="BT138" s="948"/>
      <c r="BU138" s="948"/>
      <c r="BV138" s="948"/>
      <c r="BW138" s="948"/>
      <c r="BX138" s="948"/>
      <c r="BY138" s="948"/>
      <c r="BZ138" s="948"/>
    </row>
    <row r="139" spans="39:78" s="165" customFormat="1">
      <c r="AM139" s="948"/>
      <c r="AN139" s="948"/>
      <c r="AO139" s="948"/>
      <c r="AP139" s="948"/>
      <c r="AQ139" s="948"/>
      <c r="AR139" s="948"/>
      <c r="AS139" s="948"/>
      <c r="AT139" s="948"/>
      <c r="AU139" s="948"/>
      <c r="AV139" s="948"/>
      <c r="AW139" s="948"/>
      <c r="AX139" s="948"/>
      <c r="AY139" s="948"/>
      <c r="AZ139" s="948"/>
      <c r="BA139" s="948"/>
      <c r="BB139" s="948"/>
      <c r="BC139" s="948"/>
      <c r="BD139" s="948"/>
      <c r="BE139" s="948"/>
      <c r="BF139" s="948"/>
      <c r="BG139" s="948"/>
      <c r="BH139" s="948"/>
      <c r="BI139" s="948"/>
      <c r="BJ139" s="948"/>
      <c r="BK139" s="948"/>
      <c r="BL139" s="948"/>
      <c r="BM139" s="948"/>
      <c r="BN139" s="948"/>
      <c r="BO139" s="948"/>
      <c r="BP139" s="948"/>
      <c r="BQ139" s="948"/>
      <c r="BR139" s="948"/>
      <c r="BS139" s="948"/>
      <c r="BT139" s="948"/>
      <c r="BU139" s="948"/>
      <c r="BV139" s="948"/>
      <c r="BW139" s="948"/>
      <c r="BX139" s="948"/>
      <c r="BY139" s="948"/>
      <c r="BZ139" s="948"/>
    </row>
    <row r="140" spans="39:78" s="165" customFormat="1">
      <c r="AM140" s="948"/>
      <c r="AN140" s="948"/>
      <c r="AO140" s="948"/>
      <c r="AP140" s="948"/>
      <c r="AQ140" s="948"/>
      <c r="AR140" s="948"/>
      <c r="AS140" s="948"/>
      <c r="AT140" s="948"/>
      <c r="AU140" s="948"/>
      <c r="AV140" s="948"/>
      <c r="AW140" s="948"/>
      <c r="AX140" s="948"/>
      <c r="AY140" s="948"/>
      <c r="AZ140" s="948"/>
      <c r="BA140" s="948"/>
      <c r="BB140" s="948"/>
      <c r="BC140" s="948"/>
      <c r="BD140" s="948"/>
      <c r="BE140" s="948"/>
      <c r="BF140" s="948"/>
      <c r="BG140" s="948"/>
      <c r="BH140" s="948"/>
      <c r="BI140" s="948"/>
      <c r="BJ140" s="948"/>
      <c r="BK140" s="948"/>
      <c r="BL140" s="948"/>
      <c r="BM140" s="948"/>
      <c r="BN140" s="948"/>
      <c r="BO140" s="948"/>
      <c r="BP140" s="948"/>
      <c r="BQ140" s="948"/>
      <c r="BR140" s="948"/>
      <c r="BS140" s="948"/>
      <c r="BT140" s="948"/>
      <c r="BU140" s="948"/>
      <c r="BV140" s="948"/>
      <c r="BW140" s="948"/>
      <c r="BX140" s="948"/>
      <c r="BY140" s="948"/>
      <c r="BZ140" s="948"/>
    </row>
    <row r="141" spans="39:78" s="165" customFormat="1">
      <c r="AM141" s="948"/>
      <c r="AN141" s="948"/>
      <c r="AO141" s="948"/>
      <c r="AP141" s="948"/>
      <c r="AQ141" s="948"/>
      <c r="AR141" s="948"/>
      <c r="AS141" s="948"/>
      <c r="AT141" s="948"/>
      <c r="AU141" s="948"/>
      <c r="AV141" s="948"/>
      <c r="AW141" s="948"/>
      <c r="AX141" s="948"/>
      <c r="AY141" s="948"/>
      <c r="AZ141" s="948"/>
      <c r="BA141" s="948"/>
      <c r="BB141" s="948"/>
      <c r="BC141" s="948"/>
      <c r="BD141" s="948"/>
      <c r="BE141" s="948"/>
      <c r="BF141" s="948"/>
      <c r="BG141" s="948"/>
      <c r="BH141" s="948"/>
      <c r="BI141" s="948"/>
      <c r="BJ141" s="948"/>
      <c r="BK141" s="948"/>
      <c r="BL141" s="948"/>
      <c r="BM141" s="948"/>
      <c r="BN141" s="948"/>
      <c r="BO141" s="948"/>
      <c r="BP141" s="948"/>
      <c r="BQ141" s="948"/>
      <c r="BR141" s="948"/>
      <c r="BS141" s="948"/>
      <c r="BT141" s="948"/>
      <c r="BU141" s="948"/>
      <c r="BV141" s="948"/>
      <c r="BW141" s="948"/>
      <c r="BX141" s="948"/>
      <c r="BY141" s="948"/>
      <c r="BZ141" s="948"/>
    </row>
    <row r="142" spans="39:78" s="165" customFormat="1">
      <c r="AM142" s="948"/>
      <c r="AN142" s="948"/>
      <c r="AO142" s="948"/>
      <c r="AP142" s="948"/>
      <c r="AQ142" s="948"/>
      <c r="AR142" s="948"/>
      <c r="AS142" s="948"/>
      <c r="AT142" s="948"/>
      <c r="AU142" s="948"/>
      <c r="AV142" s="948"/>
      <c r="AW142" s="948"/>
      <c r="AX142" s="948"/>
      <c r="AY142" s="948"/>
      <c r="AZ142" s="948"/>
      <c r="BA142" s="948"/>
      <c r="BB142" s="948"/>
      <c r="BC142" s="948"/>
      <c r="BD142" s="948"/>
      <c r="BE142" s="948"/>
      <c r="BF142" s="948"/>
      <c r="BG142" s="948"/>
      <c r="BH142" s="948"/>
      <c r="BI142" s="948"/>
      <c r="BJ142" s="948"/>
      <c r="BK142" s="948"/>
      <c r="BL142" s="948"/>
      <c r="BM142" s="948"/>
      <c r="BN142" s="948"/>
      <c r="BO142" s="948"/>
      <c r="BP142" s="948"/>
      <c r="BQ142" s="948"/>
      <c r="BR142" s="948"/>
      <c r="BS142" s="948"/>
      <c r="BT142" s="948"/>
      <c r="BU142" s="948"/>
      <c r="BV142" s="948"/>
      <c r="BW142" s="948"/>
      <c r="BX142" s="948"/>
      <c r="BY142" s="948"/>
      <c r="BZ142" s="948"/>
    </row>
    <row r="143" spans="39:78" s="165" customFormat="1">
      <c r="AM143" s="948"/>
      <c r="AN143" s="948"/>
      <c r="AO143" s="948"/>
      <c r="AP143" s="948"/>
      <c r="AQ143" s="948"/>
      <c r="AR143" s="948"/>
      <c r="AS143" s="948"/>
      <c r="AT143" s="948"/>
      <c r="AU143" s="948"/>
      <c r="AV143" s="948"/>
      <c r="AW143" s="948"/>
      <c r="AX143" s="948"/>
      <c r="AY143" s="948"/>
      <c r="AZ143" s="948"/>
      <c r="BA143" s="948"/>
      <c r="BB143" s="948"/>
      <c r="BC143" s="948"/>
      <c r="BD143" s="948"/>
      <c r="BE143" s="948"/>
      <c r="BF143" s="948"/>
      <c r="BG143" s="948"/>
      <c r="BH143" s="948"/>
      <c r="BI143" s="948"/>
      <c r="BJ143" s="948"/>
      <c r="BK143" s="948"/>
      <c r="BL143" s="948"/>
      <c r="BM143" s="948"/>
      <c r="BN143" s="948"/>
      <c r="BO143" s="948"/>
      <c r="BP143" s="948"/>
      <c r="BQ143" s="948"/>
      <c r="BR143" s="948"/>
      <c r="BS143" s="948"/>
      <c r="BT143" s="948"/>
      <c r="BU143" s="948"/>
      <c r="BV143" s="948"/>
      <c r="BW143" s="948"/>
      <c r="BX143" s="948"/>
      <c r="BY143" s="948"/>
      <c r="BZ143" s="948"/>
    </row>
    <row r="144" spans="39:78" s="165" customFormat="1">
      <c r="AM144" s="948"/>
      <c r="AN144" s="948"/>
      <c r="AO144" s="948"/>
      <c r="AP144" s="948"/>
      <c r="AQ144" s="948"/>
      <c r="AR144" s="948"/>
      <c r="AS144" s="948"/>
      <c r="AT144" s="948"/>
      <c r="AU144" s="948"/>
      <c r="AV144" s="948"/>
      <c r="AW144" s="948"/>
      <c r="AX144" s="948"/>
      <c r="AY144" s="948"/>
      <c r="AZ144" s="948"/>
      <c r="BA144" s="948"/>
      <c r="BB144" s="948"/>
      <c r="BC144" s="948"/>
      <c r="BD144" s="948"/>
      <c r="BE144" s="948"/>
      <c r="BF144" s="948"/>
      <c r="BG144" s="948"/>
      <c r="BH144" s="948"/>
      <c r="BI144" s="948"/>
      <c r="BJ144" s="948"/>
      <c r="BK144" s="948"/>
      <c r="BL144" s="948"/>
      <c r="BM144" s="948"/>
      <c r="BN144" s="948"/>
      <c r="BO144" s="948"/>
      <c r="BP144" s="948"/>
      <c r="BQ144" s="948"/>
      <c r="BR144" s="948"/>
      <c r="BS144" s="948"/>
      <c r="BT144" s="948"/>
      <c r="BU144" s="948"/>
      <c r="BV144" s="948"/>
      <c r="BW144" s="948"/>
      <c r="BX144" s="948"/>
      <c r="BY144" s="948"/>
      <c r="BZ144" s="948"/>
    </row>
    <row r="145" spans="39:78" s="165" customFormat="1">
      <c r="AM145" s="948"/>
      <c r="AN145" s="948"/>
      <c r="AO145" s="948"/>
      <c r="AP145" s="948"/>
      <c r="AQ145" s="948"/>
      <c r="AR145" s="948"/>
      <c r="AS145" s="948"/>
      <c r="AT145" s="948"/>
      <c r="AU145" s="948"/>
      <c r="AV145" s="948"/>
      <c r="AW145" s="948"/>
      <c r="AX145" s="948"/>
      <c r="AY145" s="948"/>
      <c r="AZ145" s="948"/>
      <c r="BA145" s="948"/>
      <c r="BB145" s="948"/>
      <c r="BC145" s="948"/>
      <c r="BD145" s="948"/>
      <c r="BE145" s="948"/>
      <c r="BF145" s="948"/>
      <c r="BG145" s="948"/>
      <c r="BH145" s="948"/>
      <c r="BI145" s="948"/>
      <c r="BJ145" s="948"/>
      <c r="BK145" s="948"/>
      <c r="BL145" s="948"/>
      <c r="BM145" s="948"/>
      <c r="BN145" s="948"/>
      <c r="BO145" s="948"/>
      <c r="BP145" s="948"/>
      <c r="BQ145" s="948"/>
      <c r="BR145" s="948"/>
      <c r="BS145" s="948"/>
      <c r="BT145" s="948"/>
      <c r="BU145" s="948"/>
      <c r="BV145" s="948"/>
      <c r="BW145" s="948"/>
      <c r="BX145" s="948"/>
      <c r="BY145" s="948"/>
      <c r="BZ145" s="948"/>
    </row>
    <row r="146" spans="39:78" s="165" customFormat="1">
      <c r="AM146" s="948"/>
      <c r="AN146" s="948"/>
      <c r="AO146" s="948"/>
      <c r="AP146" s="948"/>
      <c r="AQ146" s="948"/>
      <c r="AR146" s="948"/>
      <c r="AS146" s="948"/>
      <c r="AT146" s="948"/>
      <c r="AU146" s="948"/>
      <c r="AV146" s="948"/>
      <c r="AW146" s="948"/>
      <c r="AX146" s="948"/>
      <c r="AY146" s="948"/>
      <c r="AZ146" s="948"/>
      <c r="BA146" s="948"/>
      <c r="BB146" s="948"/>
      <c r="BC146" s="948"/>
      <c r="BD146" s="948"/>
      <c r="BE146" s="948"/>
      <c r="BF146" s="948"/>
      <c r="BG146" s="948"/>
      <c r="BH146" s="948"/>
      <c r="BI146" s="948"/>
      <c r="BJ146" s="948"/>
      <c r="BK146" s="948"/>
      <c r="BL146" s="948"/>
      <c r="BM146" s="948"/>
      <c r="BN146" s="948"/>
      <c r="BO146" s="948"/>
      <c r="BP146" s="948"/>
      <c r="BQ146" s="948"/>
      <c r="BR146" s="948"/>
      <c r="BS146" s="948"/>
      <c r="BT146" s="948"/>
      <c r="BU146" s="948"/>
      <c r="BV146" s="948"/>
      <c r="BW146" s="948"/>
      <c r="BX146" s="948"/>
      <c r="BY146" s="948"/>
      <c r="BZ146" s="948"/>
    </row>
    <row r="147" spans="39:78" s="165" customFormat="1">
      <c r="AM147" s="948"/>
      <c r="AN147" s="948"/>
      <c r="AO147" s="948"/>
      <c r="AP147" s="948"/>
      <c r="AQ147" s="948"/>
      <c r="AR147" s="948"/>
      <c r="AS147" s="948"/>
      <c r="AT147" s="948"/>
      <c r="AU147" s="948"/>
      <c r="AV147" s="948"/>
      <c r="AW147" s="948"/>
      <c r="AX147" s="948"/>
      <c r="AY147" s="948"/>
      <c r="AZ147" s="948"/>
      <c r="BA147" s="948"/>
      <c r="BB147" s="948"/>
      <c r="BC147" s="948"/>
      <c r="BD147" s="948"/>
      <c r="BE147" s="948"/>
      <c r="BF147" s="948"/>
      <c r="BG147" s="948"/>
      <c r="BH147" s="948"/>
      <c r="BI147" s="948"/>
      <c r="BJ147" s="948"/>
      <c r="BK147" s="948"/>
      <c r="BL147" s="948"/>
      <c r="BM147" s="948"/>
      <c r="BN147" s="948"/>
      <c r="BO147" s="948"/>
      <c r="BP147" s="948"/>
      <c r="BQ147" s="948"/>
      <c r="BR147" s="948"/>
      <c r="BS147" s="948"/>
      <c r="BT147" s="948"/>
      <c r="BU147" s="948"/>
      <c r="BV147" s="948"/>
      <c r="BW147" s="948"/>
      <c r="BX147" s="948"/>
      <c r="BY147" s="948"/>
      <c r="BZ147" s="948"/>
    </row>
    <row r="148" spans="39:78" s="165" customFormat="1">
      <c r="AM148" s="948"/>
      <c r="AN148" s="948"/>
      <c r="AO148" s="948"/>
      <c r="AP148" s="948"/>
      <c r="AQ148" s="948"/>
      <c r="AR148" s="948"/>
      <c r="AS148" s="948"/>
      <c r="AT148" s="948"/>
      <c r="AU148" s="948"/>
      <c r="AV148" s="948"/>
      <c r="AW148" s="948"/>
      <c r="AX148" s="948"/>
      <c r="AY148" s="948"/>
      <c r="AZ148" s="948"/>
      <c r="BA148" s="948"/>
      <c r="BB148" s="948"/>
      <c r="BC148" s="948"/>
      <c r="BD148" s="948"/>
      <c r="BE148" s="948"/>
      <c r="BF148" s="948"/>
      <c r="BG148" s="948"/>
      <c r="BH148" s="948"/>
      <c r="BI148" s="948"/>
      <c r="BJ148" s="948"/>
      <c r="BK148" s="948"/>
      <c r="BL148" s="948"/>
      <c r="BM148" s="948"/>
      <c r="BN148" s="948"/>
      <c r="BO148" s="948"/>
      <c r="BP148" s="948"/>
      <c r="BQ148" s="948"/>
      <c r="BR148" s="948"/>
      <c r="BS148" s="948"/>
      <c r="BT148" s="948"/>
      <c r="BU148" s="948"/>
      <c r="BV148" s="948"/>
      <c r="BW148" s="948"/>
      <c r="BX148" s="948"/>
      <c r="BY148" s="948"/>
      <c r="BZ148" s="948"/>
    </row>
    <row r="149" spans="39:78" s="165" customFormat="1">
      <c r="AM149" s="948"/>
      <c r="AN149" s="948"/>
      <c r="AO149" s="948"/>
      <c r="AP149" s="948"/>
      <c r="AQ149" s="948"/>
      <c r="AR149" s="948"/>
      <c r="AS149" s="948"/>
      <c r="AT149" s="948"/>
      <c r="AU149" s="948"/>
      <c r="AV149" s="948"/>
      <c r="AW149" s="948"/>
      <c r="AX149" s="948"/>
      <c r="AY149" s="948"/>
      <c r="AZ149" s="948"/>
      <c r="BA149" s="948"/>
      <c r="BB149" s="948"/>
      <c r="BC149" s="948"/>
      <c r="BD149" s="948"/>
      <c r="BE149" s="948"/>
      <c r="BF149" s="948"/>
      <c r="BG149" s="948"/>
      <c r="BH149" s="948"/>
      <c r="BI149" s="948"/>
      <c r="BJ149" s="948"/>
      <c r="BK149" s="948"/>
      <c r="BL149" s="948"/>
      <c r="BM149" s="948"/>
      <c r="BN149" s="948"/>
      <c r="BO149" s="948"/>
      <c r="BP149" s="948"/>
      <c r="BQ149" s="948"/>
      <c r="BR149" s="948"/>
      <c r="BS149" s="948"/>
      <c r="BT149" s="948"/>
      <c r="BU149" s="948"/>
      <c r="BV149" s="948"/>
      <c r="BW149" s="948"/>
      <c r="BX149" s="948"/>
      <c r="BY149" s="948"/>
      <c r="BZ149" s="948"/>
    </row>
    <row r="150" spans="39:78" s="165" customFormat="1">
      <c r="AM150" s="948"/>
      <c r="AN150" s="948"/>
      <c r="AO150" s="948"/>
      <c r="AP150" s="948"/>
      <c r="AQ150" s="948"/>
      <c r="AR150" s="948"/>
      <c r="AS150" s="948"/>
      <c r="AT150" s="948"/>
      <c r="AU150" s="948"/>
      <c r="AV150" s="948"/>
      <c r="AW150" s="948"/>
      <c r="AX150" s="948"/>
      <c r="AY150" s="948"/>
      <c r="AZ150" s="948"/>
      <c r="BA150" s="948"/>
      <c r="BB150" s="948"/>
      <c r="BC150" s="948"/>
      <c r="BD150" s="948"/>
      <c r="BE150" s="948"/>
      <c r="BF150" s="948"/>
      <c r="BG150" s="948"/>
      <c r="BH150" s="948"/>
      <c r="BI150" s="948"/>
      <c r="BJ150" s="948"/>
      <c r="BK150" s="948"/>
      <c r="BL150" s="948"/>
      <c r="BM150" s="948"/>
      <c r="BN150" s="948"/>
      <c r="BO150" s="948"/>
      <c r="BP150" s="948"/>
      <c r="BQ150" s="948"/>
      <c r="BR150" s="948"/>
      <c r="BS150" s="948"/>
      <c r="BT150" s="948"/>
      <c r="BU150" s="948"/>
      <c r="BV150" s="948"/>
      <c r="BW150" s="948"/>
      <c r="BX150" s="948"/>
      <c r="BY150" s="948"/>
      <c r="BZ150" s="948"/>
    </row>
    <row r="151" spans="39:78" s="165" customFormat="1">
      <c r="AM151" s="948"/>
      <c r="AN151" s="948"/>
      <c r="AO151" s="948"/>
      <c r="AP151" s="948"/>
      <c r="AQ151" s="948"/>
      <c r="AR151" s="948"/>
      <c r="AS151" s="948"/>
      <c r="AT151" s="948"/>
      <c r="AU151" s="948"/>
      <c r="AV151" s="948"/>
      <c r="AW151" s="948"/>
      <c r="AX151" s="948"/>
      <c r="AY151" s="948"/>
      <c r="AZ151" s="948"/>
      <c r="BA151" s="948"/>
      <c r="BB151" s="948"/>
      <c r="BC151" s="948"/>
      <c r="BD151" s="948"/>
      <c r="BE151" s="948"/>
      <c r="BF151" s="948"/>
      <c r="BG151" s="948"/>
      <c r="BH151" s="948"/>
      <c r="BI151" s="948"/>
      <c r="BJ151" s="948"/>
      <c r="BK151" s="948"/>
      <c r="BL151" s="948"/>
      <c r="BM151" s="948"/>
      <c r="BN151" s="948"/>
      <c r="BO151" s="948"/>
      <c r="BP151" s="948"/>
      <c r="BQ151" s="948"/>
      <c r="BR151" s="948"/>
      <c r="BS151" s="948"/>
      <c r="BT151" s="948"/>
      <c r="BU151" s="948"/>
      <c r="BV151" s="948"/>
      <c r="BW151" s="948"/>
      <c r="BX151" s="948"/>
      <c r="BY151" s="948"/>
      <c r="BZ151" s="948"/>
    </row>
    <row r="152" spans="39:78" s="165" customFormat="1">
      <c r="AM152" s="948"/>
      <c r="AN152" s="948"/>
      <c r="AO152" s="948"/>
      <c r="AP152" s="948"/>
      <c r="AQ152" s="948"/>
      <c r="AR152" s="948"/>
      <c r="AS152" s="948"/>
      <c r="AT152" s="948"/>
      <c r="AU152" s="948"/>
      <c r="AV152" s="948"/>
      <c r="AW152" s="948"/>
      <c r="AX152" s="948"/>
      <c r="AY152" s="948"/>
      <c r="AZ152" s="948"/>
      <c r="BA152" s="948"/>
      <c r="BB152" s="948"/>
      <c r="BC152" s="948"/>
      <c r="BD152" s="948"/>
      <c r="BE152" s="948"/>
      <c r="BF152" s="948"/>
      <c r="BG152" s="948"/>
      <c r="BH152" s="948"/>
      <c r="BI152" s="948"/>
      <c r="BJ152" s="948"/>
      <c r="BK152" s="948"/>
      <c r="BL152" s="948"/>
      <c r="BM152" s="948"/>
      <c r="BN152" s="948"/>
      <c r="BO152" s="948"/>
      <c r="BP152" s="948"/>
      <c r="BQ152" s="948"/>
      <c r="BR152" s="948"/>
      <c r="BS152" s="948"/>
      <c r="BT152" s="948"/>
      <c r="BU152" s="948"/>
      <c r="BV152" s="948"/>
      <c r="BW152" s="948"/>
      <c r="BX152" s="948"/>
      <c r="BY152" s="948"/>
      <c r="BZ152" s="948"/>
    </row>
    <row r="153" spans="39:78" s="165" customFormat="1">
      <c r="AM153" s="948"/>
      <c r="AN153" s="948"/>
      <c r="AO153" s="948"/>
      <c r="AP153" s="948"/>
      <c r="AQ153" s="948"/>
      <c r="AR153" s="948"/>
      <c r="AS153" s="948"/>
      <c r="AT153" s="948"/>
      <c r="AU153" s="948"/>
      <c r="AV153" s="948"/>
      <c r="AW153" s="948"/>
      <c r="AX153" s="948"/>
      <c r="AY153" s="948"/>
      <c r="AZ153" s="948"/>
      <c r="BA153" s="948"/>
      <c r="BB153" s="948"/>
      <c r="BC153" s="948"/>
      <c r="BD153" s="948"/>
      <c r="BE153" s="948"/>
      <c r="BF153" s="948"/>
      <c r="BG153" s="948"/>
      <c r="BH153" s="948"/>
      <c r="BI153" s="948"/>
      <c r="BJ153" s="948"/>
      <c r="BK153" s="948"/>
      <c r="BL153" s="948"/>
      <c r="BM153" s="948"/>
      <c r="BN153" s="948"/>
      <c r="BO153" s="948"/>
      <c r="BP153" s="948"/>
      <c r="BQ153" s="948"/>
      <c r="BR153" s="948"/>
      <c r="BS153" s="948"/>
      <c r="BT153" s="948"/>
      <c r="BU153" s="948"/>
      <c r="BV153" s="948"/>
      <c r="BW153" s="948"/>
      <c r="BX153" s="948"/>
      <c r="BY153" s="948"/>
      <c r="BZ153" s="948"/>
    </row>
    <row r="154" spans="39:78" s="165" customFormat="1">
      <c r="AM154" s="948"/>
      <c r="AN154" s="948"/>
      <c r="AO154" s="948"/>
      <c r="AP154" s="948"/>
      <c r="AQ154" s="948"/>
      <c r="AR154" s="948"/>
      <c r="AS154" s="948"/>
      <c r="AT154" s="948"/>
      <c r="AU154" s="948"/>
      <c r="AV154" s="948"/>
      <c r="AW154" s="948"/>
      <c r="AX154" s="948"/>
      <c r="AY154" s="948"/>
      <c r="AZ154" s="948"/>
      <c r="BA154" s="948"/>
      <c r="BB154" s="948"/>
      <c r="BC154" s="948"/>
      <c r="BD154" s="948"/>
      <c r="BE154" s="948"/>
      <c r="BF154" s="948"/>
      <c r="BG154" s="948"/>
      <c r="BH154" s="948"/>
      <c r="BI154" s="948"/>
      <c r="BJ154" s="948"/>
      <c r="BK154" s="948"/>
      <c r="BL154" s="948"/>
      <c r="BM154" s="948"/>
      <c r="BN154" s="948"/>
      <c r="BO154" s="948"/>
      <c r="BP154" s="948"/>
      <c r="BQ154" s="948"/>
      <c r="BR154" s="948"/>
      <c r="BS154" s="948"/>
      <c r="BT154" s="948"/>
      <c r="BU154" s="948"/>
      <c r="BV154" s="948"/>
      <c r="BW154" s="948"/>
      <c r="BX154" s="948"/>
      <c r="BY154" s="948"/>
      <c r="BZ154" s="948"/>
    </row>
    <row r="155" spans="39:78" s="165" customFormat="1">
      <c r="AM155" s="948"/>
      <c r="AN155" s="948"/>
      <c r="AO155" s="948"/>
      <c r="AP155" s="948"/>
      <c r="AQ155" s="948"/>
      <c r="AR155" s="948"/>
      <c r="AS155" s="948"/>
      <c r="AT155" s="948"/>
      <c r="AU155" s="948"/>
      <c r="AV155" s="948"/>
      <c r="AW155" s="948"/>
      <c r="AX155" s="948"/>
      <c r="AY155" s="948"/>
      <c r="AZ155" s="948"/>
      <c r="BA155" s="948"/>
      <c r="BB155" s="948"/>
      <c r="BC155" s="948"/>
      <c r="BD155" s="948"/>
      <c r="BE155" s="948"/>
      <c r="BF155" s="948"/>
      <c r="BG155" s="948"/>
      <c r="BH155" s="948"/>
      <c r="BI155" s="948"/>
      <c r="BJ155" s="948"/>
      <c r="BK155" s="948"/>
      <c r="BL155" s="948"/>
      <c r="BM155" s="948"/>
      <c r="BN155" s="948"/>
      <c r="BO155" s="948"/>
      <c r="BP155" s="948"/>
      <c r="BQ155" s="948"/>
      <c r="BR155" s="948"/>
      <c r="BS155" s="948"/>
      <c r="BT155" s="948"/>
      <c r="BU155" s="948"/>
      <c r="BV155" s="948"/>
      <c r="BW155" s="948"/>
      <c r="BX155" s="948"/>
      <c r="BY155" s="948"/>
      <c r="BZ155" s="948"/>
    </row>
    <row r="156" spans="39:78" s="165" customFormat="1">
      <c r="AM156" s="948"/>
      <c r="AN156" s="948"/>
      <c r="AO156" s="948"/>
      <c r="AP156" s="948"/>
      <c r="AQ156" s="948"/>
      <c r="AR156" s="948"/>
      <c r="AS156" s="948"/>
      <c r="AT156" s="948"/>
      <c r="AU156" s="948"/>
      <c r="AV156" s="948"/>
      <c r="AW156" s="948"/>
      <c r="AX156" s="948"/>
      <c r="AY156" s="948"/>
      <c r="AZ156" s="948"/>
      <c r="BA156" s="948"/>
      <c r="BB156" s="948"/>
      <c r="BC156" s="948"/>
      <c r="BD156" s="948"/>
      <c r="BE156" s="948"/>
      <c r="BF156" s="948"/>
      <c r="BG156" s="948"/>
      <c r="BH156" s="948"/>
      <c r="BI156" s="948"/>
      <c r="BJ156" s="948"/>
      <c r="BK156" s="948"/>
      <c r="BL156" s="948"/>
      <c r="BM156" s="948"/>
      <c r="BN156" s="948"/>
      <c r="BO156" s="948"/>
      <c r="BP156" s="948"/>
      <c r="BQ156" s="948"/>
      <c r="BR156" s="948"/>
      <c r="BS156" s="948"/>
      <c r="BT156" s="948"/>
      <c r="BU156" s="948"/>
      <c r="BV156" s="948"/>
      <c r="BW156" s="948"/>
      <c r="BX156" s="948"/>
      <c r="BY156" s="948"/>
      <c r="BZ156" s="948"/>
    </row>
    <row r="157" spans="39:78" s="165" customFormat="1">
      <c r="AM157" s="948"/>
      <c r="AN157" s="948"/>
      <c r="AO157" s="948"/>
      <c r="AP157" s="948"/>
      <c r="AQ157" s="948"/>
      <c r="AR157" s="948"/>
      <c r="AS157" s="948"/>
      <c r="AT157" s="948"/>
      <c r="AU157" s="948"/>
      <c r="AV157" s="948"/>
      <c r="AW157" s="948"/>
      <c r="AX157" s="948"/>
      <c r="AY157" s="948"/>
      <c r="AZ157" s="948"/>
      <c r="BA157" s="948"/>
      <c r="BB157" s="948"/>
      <c r="BC157" s="948"/>
      <c r="BD157" s="948"/>
      <c r="BE157" s="948"/>
      <c r="BF157" s="948"/>
      <c r="BG157" s="948"/>
      <c r="BH157" s="948"/>
      <c r="BI157" s="948"/>
      <c r="BJ157" s="948"/>
      <c r="BK157" s="948"/>
      <c r="BL157" s="948"/>
      <c r="BM157" s="948"/>
      <c r="BN157" s="948"/>
      <c r="BO157" s="948"/>
      <c r="BP157" s="948"/>
      <c r="BQ157" s="948"/>
      <c r="BR157" s="948"/>
      <c r="BS157" s="948"/>
      <c r="BT157" s="948"/>
      <c r="BU157" s="948"/>
      <c r="BV157" s="948"/>
      <c r="BW157" s="948"/>
      <c r="BX157" s="948"/>
      <c r="BY157" s="948"/>
      <c r="BZ157" s="948"/>
    </row>
    <row r="158" spans="39:78" s="165" customFormat="1">
      <c r="AM158" s="948"/>
      <c r="AN158" s="948"/>
      <c r="AO158" s="948"/>
      <c r="AP158" s="948"/>
      <c r="AQ158" s="948"/>
      <c r="AR158" s="948"/>
      <c r="AS158" s="948"/>
      <c r="AT158" s="948"/>
      <c r="AU158" s="948"/>
      <c r="AV158" s="948"/>
      <c r="AW158" s="948"/>
      <c r="AX158" s="948"/>
      <c r="AY158" s="948"/>
      <c r="AZ158" s="948"/>
      <c r="BA158" s="948"/>
      <c r="BB158" s="948"/>
      <c r="BC158" s="948"/>
      <c r="BD158" s="948"/>
      <c r="BE158" s="948"/>
      <c r="BF158" s="948"/>
      <c r="BG158" s="948"/>
      <c r="BH158" s="948"/>
      <c r="BI158" s="948"/>
      <c r="BJ158" s="948"/>
      <c r="BK158" s="948"/>
      <c r="BL158" s="948"/>
      <c r="BM158" s="948"/>
      <c r="BN158" s="948"/>
      <c r="BO158" s="948"/>
      <c r="BP158" s="948"/>
      <c r="BQ158" s="948"/>
      <c r="BR158" s="948"/>
      <c r="BS158" s="948"/>
      <c r="BT158" s="948"/>
      <c r="BU158" s="948"/>
      <c r="BV158" s="948"/>
      <c r="BW158" s="948"/>
      <c r="BX158" s="948"/>
      <c r="BY158" s="948"/>
      <c r="BZ158" s="948"/>
    </row>
    <row r="159" spans="39:78" s="165" customFormat="1">
      <c r="AM159" s="948"/>
      <c r="AN159" s="948"/>
      <c r="AO159" s="948"/>
      <c r="AP159" s="948"/>
      <c r="AQ159" s="948"/>
      <c r="AR159" s="948"/>
      <c r="AS159" s="948"/>
      <c r="AT159" s="948"/>
      <c r="AU159" s="948"/>
      <c r="AV159" s="948"/>
      <c r="AW159" s="948"/>
      <c r="AX159" s="948"/>
      <c r="AY159" s="948"/>
      <c r="AZ159" s="948"/>
      <c r="BA159" s="948"/>
      <c r="BB159" s="948"/>
      <c r="BC159" s="948"/>
      <c r="BD159" s="948"/>
      <c r="BE159" s="948"/>
      <c r="BF159" s="948"/>
      <c r="BG159" s="948"/>
      <c r="BH159" s="948"/>
      <c r="BI159" s="948"/>
      <c r="BJ159" s="948"/>
      <c r="BK159" s="948"/>
      <c r="BL159" s="948"/>
      <c r="BM159" s="948"/>
      <c r="BN159" s="948"/>
      <c r="BO159" s="948"/>
      <c r="BP159" s="948"/>
      <c r="BQ159" s="948"/>
      <c r="BR159" s="948"/>
      <c r="BS159" s="948"/>
      <c r="BT159" s="948"/>
      <c r="BU159" s="948"/>
      <c r="BV159" s="948"/>
      <c r="BW159" s="948"/>
      <c r="BX159" s="948"/>
      <c r="BY159" s="948"/>
      <c r="BZ159" s="948"/>
    </row>
    <row r="160" spans="39:78" s="165" customFormat="1">
      <c r="AM160" s="948"/>
      <c r="AN160" s="948"/>
      <c r="AO160" s="948"/>
      <c r="AP160" s="948"/>
      <c r="AQ160" s="948"/>
      <c r="AR160" s="948"/>
      <c r="AS160" s="948"/>
      <c r="AT160" s="948"/>
      <c r="AU160" s="948"/>
      <c r="AV160" s="948"/>
      <c r="AW160" s="948"/>
      <c r="AX160" s="948"/>
      <c r="AY160" s="948"/>
      <c r="AZ160" s="948"/>
      <c r="BA160" s="948"/>
      <c r="BB160" s="948"/>
      <c r="BC160" s="948"/>
      <c r="BD160" s="948"/>
      <c r="BE160" s="948"/>
      <c r="BF160" s="948"/>
      <c r="BG160" s="948"/>
      <c r="BH160" s="948"/>
      <c r="BI160" s="948"/>
      <c r="BJ160" s="948"/>
      <c r="BK160" s="948"/>
      <c r="BL160" s="948"/>
      <c r="BM160" s="948"/>
      <c r="BN160" s="948"/>
      <c r="BO160" s="948"/>
      <c r="BP160" s="948"/>
      <c r="BQ160" s="948"/>
      <c r="BR160" s="948"/>
      <c r="BS160" s="948"/>
      <c r="BT160" s="948"/>
      <c r="BU160" s="948"/>
      <c r="BV160" s="948"/>
      <c r="BW160" s="948"/>
      <c r="BX160" s="948"/>
      <c r="BY160" s="948"/>
      <c r="BZ160" s="948"/>
    </row>
    <row r="161" spans="39:78" s="165" customFormat="1">
      <c r="AM161" s="948"/>
      <c r="AN161" s="948"/>
      <c r="AO161" s="948"/>
      <c r="AP161" s="948"/>
      <c r="AQ161" s="948"/>
      <c r="AR161" s="948"/>
      <c r="AS161" s="948"/>
      <c r="AT161" s="948"/>
      <c r="AU161" s="948"/>
      <c r="AV161" s="948"/>
      <c r="AW161" s="948"/>
      <c r="AX161" s="948"/>
      <c r="AY161" s="948"/>
      <c r="AZ161" s="948"/>
      <c r="BA161" s="948"/>
      <c r="BB161" s="948"/>
      <c r="BC161" s="948"/>
      <c r="BD161" s="948"/>
      <c r="BE161" s="948"/>
      <c r="BF161" s="948"/>
      <c r="BG161" s="948"/>
      <c r="BH161" s="948"/>
      <c r="BI161" s="948"/>
      <c r="BJ161" s="948"/>
      <c r="BK161" s="948"/>
      <c r="BL161" s="948"/>
      <c r="BM161" s="948"/>
      <c r="BN161" s="948"/>
      <c r="BO161" s="948"/>
      <c r="BP161" s="948"/>
      <c r="BQ161" s="948"/>
      <c r="BR161" s="948"/>
      <c r="BS161" s="948"/>
      <c r="BT161" s="948"/>
      <c r="BU161" s="948"/>
      <c r="BV161" s="948"/>
      <c r="BW161" s="948"/>
      <c r="BX161" s="948"/>
      <c r="BY161" s="948"/>
      <c r="BZ161" s="948"/>
    </row>
    <row r="162" spans="39:78" s="165" customFormat="1">
      <c r="AM162" s="948"/>
      <c r="AN162" s="948"/>
      <c r="AO162" s="948"/>
      <c r="AP162" s="948"/>
      <c r="AQ162" s="948"/>
      <c r="AR162" s="948"/>
      <c r="AS162" s="948"/>
      <c r="AT162" s="948"/>
      <c r="AU162" s="948"/>
      <c r="AV162" s="948"/>
      <c r="AW162" s="948"/>
      <c r="AX162" s="948"/>
      <c r="AY162" s="948"/>
      <c r="AZ162" s="948"/>
      <c r="BA162" s="948"/>
      <c r="BB162" s="948"/>
      <c r="BC162" s="948"/>
      <c r="BD162" s="948"/>
      <c r="BE162" s="948"/>
      <c r="BF162" s="948"/>
      <c r="BG162" s="948"/>
      <c r="BH162" s="948"/>
      <c r="BI162" s="948"/>
      <c r="BJ162" s="948"/>
      <c r="BK162" s="948"/>
      <c r="BL162" s="948"/>
      <c r="BM162" s="948"/>
      <c r="BN162" s="948"/>
      <c r="BO162" s="948"/>
      <c r="BP162" s="948"/>
      <c r="BQ162" s="948"/>
      <c r="BR162" s="948"/>
      <c r="BS162" s="948"/>
      <c r="BT162" s="948"/>
      <c r="BU162" s="948"/>
      <c r="BV162" s="948"/>
      <c r="BW162" s="948"/>
      <c r="BX162" s="948"/>
      <c r="BY162" s="948"/>
      <c r="BZ162" s="948"/>
    </row>
    <row r="163" spans="39:78" s="165" customFormat="1">
      <c r="AM163" s="948"/>
      <c r="AN163" s="948"/>
      <c r="AO163" s="948"/>
      <c r="AP163" s="948"/>
      <c r="AQ163" s="948"/>
      <c r="AR163" s="948"/>
      <c r="AS163" s="948"/>
      <c r="AT163" s="948"/>
      <c r="AU163" s="948"/>
      <c r="AV163" s="948"/>
      <c r="AW163" s="948"/>
      <c r="AX163" s="948"/>
      <c r="AY163" s="948"/>
      <c r="AZ163" s="948"/>
      <c r="BA163" s="948"/>
      <c r="BB163" s="948"/>
      <c r="BC163" s="948"/>
      <c r="BD163" s="948"/>
      <c r="BE163" s="948"/>
      <c r="BF163" s="948"/>
      <c r="BG163" s="948"/>
      <c r="BH163" s="948"/>
      <c r="BI163" s="948"/>
      <c r="BJ163" s="948"/>
      <c r="BK163" s="948"/>
      <c r="BL163" s="948"/>
      <c r="BM163" s="948"/>
      <c r="BN163" s="948"/>
      <c r="BO163" s="948"/>
      <c r="BP163" s="948"/>
      <c r="BQ163" s="948"/>
      <c r="BR163" s="948"/>
      <c r="BS163" s="948"/>
      <c r="BT163" s="948"/>
      <c r="BU163" s="948"/>
      <c r="BV163" s="948"/>
      <c r="BW163" s="948"/>
      <c r="BX163" s="948"/>
      <c r="BY163" s="948"/>
      <c r="BZ163" s="948"/>
    </row>
    <row r="164" spans="39:78" s="165" customFormat="1">
      <c r="AM164" s="948"/>
      <c r="AN164" s="948"/>
      <c r="AO164" s="948"/>
      <c r="AP164" s="948"/>
      <c r="AQ164" s="948"/>
      <c r="AR164" s="948"/>
      <c r="AS164" s="948"/>
      <c r="AT164" s="948"/>
      <c r="AU164" s="948"/>
      <c r="AV164" s="948"/>
      <c r="AW164" s="948"/>
      <c r="AX164" s="948"/>
      <c r="AY164" s="948"/>
      <c r="AZ164" s="948"/>
      <c r="BA164" s="948"/>
      <c r="BB164" s="948"/>
      <c r="BC164" s="948"/>
      <c r="BD164" s="948"/>
      <c r="BE164" s="948"/>
      <c r="BF164" s="948"/>
      <c r="BG164" s="948"/>
      <c r="BH164" s="948"/>
      <c r="BI164" s="948"/>
      <c r="BJ164" s="948"/>
      <c r="BK164" s="948"/>
      <c r="BL164" s="948"/>
      <c r="BM164" s="948"/>
      <c r="BN164" s="948"/>
      <c r="BO164" s="948"/>
      <c r="BP164" s="948"/>
      <c r="BQ164" s="948"/>
      <c r="BR164" s="948"/>
      <c r="BS164" s="948"/>
      <c r="BT164" s="948"/>
      <c r="BU164" s="948"/>
      <c r="BV164" s="948"/>
      <c r="BW164" s="948"/>
      <c r="BX164" s="948"/>
      <c r="BY164" s="948"/>
      <c r="BZ164" s="948"/>
    </row>
    <row r="165" spans="39:78" s="165" customFormat="1">
      <c r="AM165" s="948"/>
      <c r="AN165" s="948"/>
      <c r="AO165" s="948"/>
      <c r="AP165" s="948"/>
      <c r="AQ165" s="948"/>
      <c r="AR165" s="948"/>
      <c r="AS165" s="948"/>
      <c r="AT165" s="948"/>
      <c r="AU165" s="948"/>
      <c r="AV165" s="948"/>
      <c r="AW165" s="948"/>
      <c r="AX165" s="948"/>
      <c r="AY165" s="948"/>
      <c r="AZ165" s="948"/>
      <c r="BA165" s="948"/>
      <c r="BB165" s="948"/>
      <c r="BC165" s="948"/>
      <c r="BD165" s="948"/>
      <c r="BE165" s="948"/>
      <c r="BF165" s="948"/>
      <c r="BG165" s="948"/>
      <c r="BH165" s="948"/>
      <c r="BI165" s="948"/>
      <c r="BJ165" s="948"/>
      <c r="BK165" s="948"/>
      <c r="BL165" s="948"/>
      <c r="BM165" s="948"/>
      <c r="BN165" s="948"/>
      <c r="BO165" s="948"/>
      <c r="BP165" s="948"/>
      <c r="BQ165" s="948"/>
      <c r="BR165" s="948"/>
      <c r="BS165" s="948"/>
      <c r="BT165" s="948"/>
      <c r="BU165" s="948"/>
      <c r="BV165" s="948"/>
      <c r="BW165" s="948"/>
      <c r="BX165" s="948"/>
      <c r="BY165" s="948"/>
      <c r="BZ165" s="948"/>
    </row>
    <row r="166" spans="39:78" s="165" customFormat="1">
      <c r="AM166" s="948"/>
      <c r="AN166" s="948"/>
      <c r="AO166" s="948"/>
      <c r="AP166" s="948"/>
      <c r="AQ166" s="948"/>
      <c r="AR166" s="948"/>
      <c r="AS166" s="948"/>
      <c r="AT166" s="948"/>
      <c r="AU166" s="948"/>
      <c r="AV166" s="948"/>
      <c r="AW166" s="948"/>
      <c r="AX166" s="948"/>
      <c r="AY166" s="948"/>
      <c r="AZ166" s="948"/>
      <c r="BA166" s="948"/>
      <c r="BB166" s="948"/>
      <c r="BC166" s="948"/>
      <c r="BD166" s="948"/>
      <c r="BE166" s="948"/>
      <c r="BF166" s="948"/>
      <c r="BG166" s="948"/>
      <c r="BH166" s="948"/>
      <c r="BI166" s="948"/>
      <c r="BJ166" s="948"/>
      <c r="BK166" s="948"/>
      <c r="BL166" s="948"/>
      <c r="BM166" s="948"/>
      <c r="BN166" s="948"/>
      <c r="BO166" s="948"/>
      <c r="BP166" s="948"/>
      <c r="BQ166" s="948"/>
      <c r="BR166" s="948"/>
      <c r="BS166" s="948"/>
      <c r="BT166" s="948"/>
      <c r="BU166" s="948"/>
      <c r="BV166" s="948"/>
      <c r="BW166" s="948"/>
      <c r="BX166" s="948"/>
      <c r="BY166" s="948"/>
      <c r="BZ166" s="948"/>
    </row>
    <row r="167" spans="39:78" s="165" customFormat="1">
      <c r="AM167" s="948"/>
      <c r="AN167" s="948"/>
      <c r="AO167" s="948"/>
      <c r="AP167" s="948"/>
      <c r="AQ167" s="948"/>
      <c r="AR167" s="948"/>
      <c r="AS167" s="948"/>
      <c r="AT167" s="948"/>
      <c r="AU167" s="948"/>
      <c r="AV167" s="948"/>
      <c r="AW167" s="948"/>
      <c r="AX167" s="948"/>
      <c r="AY167" s="948"/>
      <c r="AZ167" s="948"/>
      <c r="BA167" s="948"/>
      <c r="BB167" s="948"/>
      <c r="BC167" s="948"/>
      <c r="BD167" s="948"/>
      <c r="BE167" s="948"/>
      <c r="BF167" s="948"/>
      <c r="BG167" s="948"/>
      <c r="BH167" s="948"/>
      <c r="BI167" s="948"/>
      <c r="BJ167" s="948"/>
      <c r="BK167" s="948"/>
      <c r="BL167" s="948"/>
      <c r="BM167" s="948"/>
      <c r="BN167" s="948"/>
      <c r="BO167" s="948"/>
      <c r="BP167" s="948"/>
      <c r="BQ167" s="948"/>
      <c r="BR167" s="948"/>
      <c r="BS167" s="948"/>
      <c r="BT167" s="948"/>
      <c r="BU167" s="948"/>
      <c r="BV167" s="948"/>
      <c r="BW167" s="948"/>
      <c r="BX167" s="948"/>
      <c r="BY167" s="948"/>
      <c r="BZ167" s="948"/>
    </row>
    <row r="168" spans="39:78" s="165" customFormat="1">
      <c r="AM168" s="948"/>
      <c r="AN168" s="948"/>
      <c r="AO168" s="948"/>
      <c r="AP168" s="948"/>
      <c r="AQ168" s="948"/>
      <c r="AR168" s="948"/>
      <c r="AS168" s="948"/>
      <c r="AT168" s="948"/>
      <c r="AU168" s="948"/>
      <c r="AV168" s="948"/>
      <c r="AW168" s="948"/>
      <c r="AX168" s="948"/>
      <c r="AY168" s="948"/>
      <c r="AZ168" s="948"/>
      <c r="BA168" s="948"/>
      <c r="BB168" s="948"/>
      <c r="BC168" s="948"/>
      <c r="BD168" s="948"/>
      <c r="BE168" s="948"/>
      <c r="BF168" s="948"/>
      <c r="BG168" s="948"/>
      <c r="BH168" s="948"/>
      <c r="BI168" s="948"/>
      <c r="BJ168" s="948"/>
      <c r="BK168" s="948"/>
      <c r="BL168" s="948"/>
      <c r="BM168" s="948"/>
      <c r="BN168" s="948"/>
      <c r="BO168" s="948"/>
      <c r="BP168" s="948"/>
      <c r="BQ168" s="948"/>
      <c r="BR168" s="948"/>
      <c r="BS168" s="948"/>
      <c r="BT168" s="948"/>
      <c r="BU168" s="948"/>
      <c r="BV168" s="948"/>
      <c r="BW168" s="948"/>
      <c r="BX168" s="948"/>
      <c r="BY168" s="948"/>
      <c r="BZ168" s="948"/>
    </row>
    <row r="169" spans="39:78" s="165" customFormat="1">
      <c r="AM169" s="948"/>
      <c r="AN169" s="948"/>
      <c r="AO169" s="948"/>
      <c r="AP169" s="948"/>
      <c r="AQ169" s="948"/>
      <c r="AR169" s="948"/>
      <c r="AS169" s="948"/>
      <c r="AT169" s="948"/>
      <c r="AU169" s="948"/>
      <c r="AV169" s="948"/>
      <c r="AW169" s="948"/>
      <c r="AX169" s="948"/>
      <c r="AY169" s="948"/>
      <c r="AZ169" s="948"/>
      <c r="BA169" s="948"/>
      <c r="BB169" s="948"/>
      <c r="BC169" s="948"/>
      <c r="BD169" s="948"/>
      <c r="BE169" s="948"/>
      <c r="BF169" s="948"/>
      <c r="BG169" s="948"/>
      <c r="BH169" s="948"/>
      <c r="BI169" s="948"/>
      <c r="BJ169" s="948"/>
      <c r="BK169" s="948"/>
      <c r="BL169" s="948"/>
      <c r="BM169" s="948"/>
      <c r="BN169" s="948"/>
      <c r="BO169" s="948"/>
      <c r="BP169" s="948"/>
      <c r="BQ169" s="948"/>
      <c r="BR169" s="948"/>
      <c r="BS169" s="948"/>
      <c r="BT169" s="948"/>
      <c r="BU169" s="948"/>
      <c r="BV169" s="948"/>
      <c r="BW169" s="948"/>
      <c r="BX169" s="948"/>
      <c r="BY169" s="948"/>
      <c r="BZ169" s="948"/>
    </row>
    <row r="170" spans="39:78" s="165" customFormat="1">
      <c r="AM170" s="948"/>
      <c r="AN170" s="948"/>
      <c r="AO170" s="948"/>
      <c r="AP170" s="948"/>
      <c r="AQ170" s="948"/>
      <c r="AR170" s="948"/>
      <c r="AS170" s="948"/>
      <c r="AT170" s="948"/>
      <c r="AU170" s="948"/>
      <c r="AV170" s="948"/>
      <c r="AW170" s="948"/>
      <c r="AX170" s="948"/>
      <c r="AY170" s="948"/>
      <c r="AZ170" s="948"/>
      <c r="BA170" s="948"/>
      <c r="BB170" s="948"/>
      <c r="BC170" s="948"/>
      <c r="BD170" s="948"/>
      <c r="BE170" s="948"/>
      <c r="BF170" s="948"/>
      <c r="BG170" s="948"/>
      <c r="BH170" s="948"/>
      <c r="BI170" s="948"/>
      <c r="BJ170" s="948"/>
      <c r="BK170" s="948"/>
      <c r="BL170" s="948"/>
      <c r="BM170" s="948"/>
      <c r="BN170" s="948"/>
      <c r="BO170" s="948"/>
      <c r="BP170" s="948"/>
      <c r="BQ170" s="948"/>
      <c r="BR170" s="948"/>
      <c r="BS170" s="948"/>
      <c r="BT170" s="948"/>
      <c r="BU170" s="948"/>
      <c r="BV170" s="948"/>
      <c r="BW170" s="948"/>
      <c r="BX170" s="948"/>
      <c r="BY170" s="948"/>
      <c r="BZ170" s="948"/>
    </row>
    <row r="171" spans="39:78" s="165" customFormat="1">
      <c r="AM171" s="948"/>
      <c r="AN171" s="948"/>
      <c r="AO171" s="948"/>
      <c r="AP171" s="948"/>
      <c r="AQ171" s="948"/>
      <c r="AR171" s="948"/>
      <c r="AS171" s="948"/>
      <c r="AT171" s="948"/>
      <c r="AU171" s="948"/>
      <c r="AV171" s="948"/>
      <c r="AW171" s="948"/>
      <c r="AX171" s="948"/>
      <c r="AY171" s="948"/>
      <c r="AZ171" s="948"/>
      <c r="BA171" s="948"/>
      <c r="BB171" s="948"/>
      <c r="BC171" s="948"/>
      <c r="BD171" s="948"/>
      <c r="BE171" s="948"/>
      <c r="BF171" s="948"/>
      <c r="BG171" s="948"/>
      <c r="BH171" s="948"/>
      <c r="BI171" s="948"/>
      <c r="BJ171" s="948"/>
      <c r="BK171" s="948"/>
      <c r="BL171" s="948"/>
      <c r="BM171" s="948"/>
      <c r="BN171" s="948"/>
      <c r="BO171" s="948"/>
      <c r="BP171" s="948"/>
      <c r="BQ171" s="948"/>
      <c r="BR171" s="948"/>
      <c r="BS171" s="948"/>
      <c r="BT171" s="948"/>
      <c r="BU171" s="948"/>
      <c r="BV171" s="948"/>
      <c r="BW171" s="948"/>
      <c r="BX171" s="948"/>
      <c r="BY171" s="948"/>
      <c r="BZ171" s="948"/>
    </row>
    <row r="172" spans="39:78" s="165" customFormat="1">
      <c r="AM172" s="948"/>
      <c r="AN172" s="948"/>
      <c r="AO172" s="948"/>
      <c r="AP172" s="948"/>
      <c r="AQ172" s="948"/>
      <c r="AR172" s="948"/>
      <c r="AS172" s="948"/>
      <c r="AT172" s="948"/>
      <c r="AU172" s="948"/>
      <c r="AV172" s="948"/>
      <c r="AW172" s="948"/>
      <c r="AX172" s="948"/>
      <c r="AY172" s="948"/>
      <c r="AZ172" s="948"/>
      <c r="BA172" s="948"/>
      <c r="BB172" s="948"/>
      <c r="BC172" s="948"/>
      <c r="BD172" s="948"/>
      <c r="BE172" s="948"/>
      <c r="BF172" s="948"/>
      <c r="BG172" s="948"/>
      <c r="BH172" s="948"/>
      <c r="BI172" s="948"/>
      <c r="BJ172" s="948"/>
      <c r="BK172" s="948"/>
      <c r="BL172" s="948"/>
      <c r="BM172" s="948"/>
      <c r="BN172" s="948"/>
      <c r="BO172" s="948"/>
      <c r="BP172" s="948"/>
      <c r="BQ172" s="948"/>
      <c r="BR172" s="948"/>
      <c r="BS172" s="948"/>
      <c r="BT172" s="948"/>
      <c r="BU172" s="948"/>
      <c r="BV172" s="948"/>
      <c r="BW172" s="948"/>
      <c r="BX172" s="948"/>
      <c r="BY172" s="948"/>
      <c r="BZ172" s="948"/>
    </row>
    <row r="173" spans="39:78" s="165" customFormat="1">
      <c r="AM173" s="948"/>
      <c r="AN173" s="948"/>
      <c r="AO173" s="948"/>
      <c r="AP173" s="948"/>
      <c r="AQ173" s="948"/>
      <c r="AR173" s="948"/>
      <c r="AS173" s="948"/>
      <c r="AT173" s="948"/>
      <c r="AU173" s="948"/>
      <c r="AV173" s="948"/>
      <c r="AW173" s="948"/>
      <c r="AX173" s="948"/>
      <c r="AY173" s="948"/>
      <c r="AZ173" s="948"/>
      <c r="BA173" s="948"/>
      <c r="BB173" s="948"/>
      <c r="BC173" s="948"/>
      <c r="BD173" s="948"/>
      <c r="BE173" s="948"/>
      <c r="BF173" s="948"/>
      <c r="BG173" s="948"/>
      <c r="BH173" s="948"/>
      <c r="BI173" s="948"/>
      <c r="BJ173" s="948"/>
      <c r="BK173" s="948"/>
      <c r="BL173" s="948"/>
      <c r="BM173" s="948"/>
      <c r="BN173" s="948"/>
      <c r="BO173" s="948"/>
      <c r="BP173" s="948"/>
      <c r="BQ173" s="948"/>
      <c r="BR173" s="948"/>
      <c r="BS173" s="948"/>
      <c r="BT173" s="948"/>
      <c r="BU173" s="948"/>
      <c r="BV173" s="948"/>
      <c r="BW173" s="948"/>
      <c r="BX173" s="948"/>
      <c r="BY173" s="948"/>
      <c r="BZ173" s="948"/>
    </row>
    <row r="174" spans="39:78" s="165" customFormat="1">
      <c r="AM174" s="948"/>
      <c r="AN174" s="948"/>
      <c r="AO174" s="948"/>
      <c r="AP174" s="948"/>
      <c r="AQ174" s="948"/>
      <c r="AR174" s="948"/>
      <c r="AS174" s="948"/>
      <c r="AT174" s="948"/>
      <c r="AU174" s="948"/>
      <c r="AV174" s="948"/>
      <c r="AW174" s="948"/>
      <c r="AX174" s="948"/>
      <c r="AY174" s="948"/>
      <c r="AZ174" s="948"/>
      <c r="BA174" s="948"/>
      <c r="BB174" s="948"/>
      <c r="BC174" s="948"/>
      <c r="BD174" s="948"/>
      <c r="BE174" s="948"/>
      <c r="BF174" s="948"/>
      <c r="BG174" s="948"/>
      <c r="BH174" s="948"/>
      <c r="BI174" s="948"/>
      <c r="BJ174" s="948"/>
      <c r="BK174" s="948"/>
      <c r="BL174" s="948"/>
      <c r="BM174" s="948"/>
      <c r="BN174" s="948"/>
      <c r="BO174" s="948"/>
      <c r="BP174" s="948"/>
      <c r="BQ174" s="948"/>
      <c r="BR174" s="948"/>
      <c r="BS174" s="948"/>
      <c r="BT174" s="948"/>
      <c r="BU174" s="948"/>
      <c r="BV174" s="948"/>
      <c r="BW174" s="948"/>
      <c r="BX174" s="948"/>
      <c r="BY174" s="948"/>
      <c r="BZ174" s="948"/>
    </row>
    <row r="175" spans="39:78" s="165" customFormat="1">
      <c r="AM175" s="948"/>
      <c r="AN175" s="948"/>
      <c r="AO175" s="948"/>
      <c r="AP175" s="948"/>
      <c r="AQ175" s="948"/>
      <c r="AR175" s="948"/>
      <c r="AS175" s="948"/>
      <c r="AT175" s="948"/>
      <c r="AU175" s="948"/>
      <c r="AV175" s="948"/>
      <c r="AW175" s="948"/>
      <c r="AX175" s="948"/>
      <c r="AY175" s="948"/>
      <c r="AZ175" s="948"/>
      <c r="BA175" s="948"/>
      <c r="BB175" s="948"/>
      <c r="BC175" s="948"/>
      <c r="BD175" s="948"/>
      <c r="BE175" s="948"/>
      <c r="BF175" s="948"/>
      <c r="BG175" s="948"/>
      <c r="BH175" s="948"/>
      <c r="BI175" s="948"/>
      <c r="BJ175" s="948"/>
      <c r="BK175" s="948"/>
      <c r="BL175" s="948"/>
      <c r="BM175" s="948"/>
      <c r="BN175" s="948"/>
      <c r="BO175" s="948"/>
      <c r="BP175" s="948"/>
      <c r="BQ175" s="948"/>
      <c r="BR175" s="948"/>
      <c r="BS175" s="948"/>
      <c r="BT175" s="948"/>
      <c r="BU175" s="948"/>
      <c r="BV175" s="948"/>
      <c r="BW175" s="948"/>
      <c r="BX175" s="948"/>
      <c r="BY175" s="948"/>
      <c r="BZ175" s="948"/>
    </row>
    <row r="176" spans="39:78" s="165" customFormat="1">
      <c r="AM176" s="948"/>
      <c r="AN176" s="948"/>
      <c r="AO176" s="948"/>
      <c r="AP176" s="948"/>
      <c r="AQ176" s="948"/>
      <c r="AR176" s="948"/>
      <c r="AS176" s="948"/>
      <c r="AT176" s="948"/>
      <c r="AU176" s="948"/>
      <c r="AV176" s="948"/>
      <c r="AW176" s="948"/>
      <c r="AX176" s="948"/>
      <c r="AY176" s="948"/>
      <c r="AZ176" s="948"/>
      <c r="BA176" s="948"/>
      <c r="BB176" s="948"/>
      <c r="BC176" s="948"/>
      <c r="BD176" s="948"/>
      <c r="BE176" s="948"/>
      <c r="BF176" s="948"/>
      <c r="BG176" s="948"/>
      <c r="BH176" s="948"/>
      <c r="BI176" s="948"/>
      <c r="BJ176" s="948"/>
      <c r="BK176" s="948"/>
      <c r="BL176" s="948"/>
      <c r="BM176" s="948"/>
      <c r="BN176" s="948"/>
      <c r="BO176" s="948"/>
      <c r="BP176" s="948"/>
      <c r="BQ176" s="948"/>
      <c r="BR176" s="948"/>
      <c r="BS176" s="948"/>
      <c r="BT176" s="948"/>
      <c r="BU176" s="948"/>
      <c r="BV176" s="948"/>
      <c r="BW176" s="948"/>
      <c r="BX176" s="948"/>
      <c r="BY176" s="948"/>
      <c r="BZ176" s="948"/>
    </row>
    <row r="177" spans="39:78" s="165" customFormat="1">
      <c r="AM177" s="948"/>
      <c r="AN177" s="948"/>
      <c r="AO177" s="948"/>
      <c r="AP177" s="948"/>
      <c r="AQ177" s="948"/>
      <c r="AR177" s="948"/>
      <c r="AS177" s="948"/>
      <c r="AT177" s="948"/>
      <c r="AU177" s="948"/>
      <c r="AV177" s="948"/>
      <c r="AW177" s="948"/>
      <c r="AX177" s="948"/>
      <c r="AY177" s="948"/>
      <c r="AZ177" s="948"/>
      <c r="BA177" s="948"/>
      <c r="BB177" s="948"/>
      <c r="BC177" s="948"/>
      <c r="BD177" s="948"/>
      <c r="BE177" s="948"/>
      <c r="BF177" s="948"/>
      <c r="BG177" s="948"/>
      <c r="BH177" s="948"/>
      <c r="BI177" s="948"/>
      <c r="BJ177" s="948"/>
      <c r="BK177" s="948"/>
      <c r="BL177" s="948"/>
      <c r="BM177" s="948"/>
      <c r="BN177" s="948"/>
      <c r="BO177" s="948"/>
      <c r="BP177" s="948"/>
      <c r="BQ177" s="948"/>
      <c r="BR177" s="948"/>
      <c r="BS177" s="948"/>
      <c r="BT177" s="948"/>
      <c r="BU177" s="948"/>
      <c r="BV177" s="948"/>
      <c r="BW177" s="948"/>
      <c r="BX177" s="948"/>
      <c r="BY177" s="948"/>
      <c r="BZ177" s="948"/>
    </row>
    <row r="178" spans="39:78" s="165" customFormat="1">
      <c r="AM178" s="948"/>
      <c r="AN178" s="948"/>
      <c r="AO178" s="948"/>
      <c r="AP178" s="948"/>
      <c r="AQ178" s="948"/>
      <c r="AR178" s="948"/>
      <c r="AS178" s="948"/>
      <c r="AT178" s="948"/>
      <c r="AU178" s="948"/>
      <c r="AV178" s="948"/>
      <c r="AW178" s="948"/>
      <c r="AX178" s="948"/>
      <c r="AY178" s="948"/>
      <c r="AZ178" s="948"/>
      <c r="BA178" s="948"/>
      <c r="BB178" s="948"/>
      <c r="BC178" s="948"/>
      <c r="BD178" s="948"/>
      <c r="BE178" s="948"/>
      <c r="BF178" s="948"/>
      <c r="BG178" s="948"/>
      <c r="BH178" s="948"/>
      <c r="BI178" s="948"/>
      <c r="BJ178" s="948"/>
      <c r="BK178" s="948"/>
      <c r="BL178" s="948"/>
      <c r="BM178" s="948"/>
      <c r="BN178" s="948"/>
      <c r="BO178" s="948"/>
      <c r="BP178" s="948"/>
      <c r="BQ178" s="948"/>
      <c r="BR178" s="948"/>
      <c r="BS178" s="948"/>
      <c r="BT178" s="948"/>
      <c r="BU178" s="948"/>
      <c r="BV178" s="948"/>
      <c r="BW178" s="948"/>
      <c r="BX178" s="948"/>
      <c r="BY178" s="948"/>
      <c r="BZ178" s="948"/>
    </row>
    <row r="179" spans="39:78" s="165" customFormat="1">
      <c r="AM179" s="948"/>
      <c r="AN179" s="948"/>
      <c r="AO179" s="948"/>
      <c r="AP179" s="948"/>
      <c r="AQ179" s="948"/>
      <c r="AR179" s="948"/>
      <c r="AS179" s="948"/>
      <c r="AT179" s="948"/>
      <c r="AU179" s="948"/>
      <c r="AV179" s="948"/>
      <c r="AW179" s="948"/>
      <c r="AX179" s="948"/>
      <c r="AY179" s="948"/>
      <c r="AZ179" s="948"/>
      <c r="BA179" s="948"/>
      <c r="BB179" s="948"/>
      <c r="BC179" s="948"/>
      <c r="BD179" s="948"/>
      <c r="BE179" s="948"/>
      <c r="BF179" s="948"/>
      <c r="BG179" s="948"/>
      <c r="BH179" s="948"/>
      <c r="BI179" s="948"/>
      <c r="BJ179" s="948"/>
      <c r="BK179" s="948"/>
      <c r="BL179" s="948"/>
      <c r="BM179" s="948"/>
      <c r="BN179" s="948"/>
      <c r="BO179" s="948"/>
      <c r="BP179" s="948"/>
      <c r="BQ179" s="948"/>
      <c r="BR179" s="948"/>
      <c r="BS179" s="948"/>
      <c r="BT179" s="948"/>
      <c r="BU179" s="948"/>
      <c r="BV179" s="948"/>
      <c r="BW179" s="948"/>
      <c r="BX179" s="948"/>
      <c r="BY179" s="948"/>
      <c r="BZ179" s="948"/>
    </row>
    <row r="180" spans="39:78" s="165" customFormat="1">
      <c r="AM180" s="948"/>
      <c r="AN180" s="948"/>
      <c r="AO180" s="948"/>
      <c r="AP180" s="948"/>
      <c r="AQ180" s="948"/>
      <c r="AR180" s="948"/>
      <c r="AS180" s="948"/>
      <c r="AT180" s="948"/>
      <c r="AU180" s="948"/>
      <c r="AV180" s="948"/>
      <c r="AW180" s="948"/>
      <c r="AX180" s="948"/>
      <c r="AY180" s="948"/>
      <c r="AZ180" s="948"/>
      <c r="BA180" s="948"/>
      <c r="BB180" s="948"/>
      <c r="BC180" s="948"/>
      <c r="BD180" s="948"/>
      <c r="BE180" s="948"/>
      <c r="BF180" s="948"/>
      <c r="BG180" s="948"/>
      <c r="BH180" s="948"/>
      <c r="BI180" s="948"/>
      <c r="BJ180" s="948"/>
      <c r="BK180" s="948"/>
      <c r="BL180" s="948"/>
      <c r="BM180" s="948"/>
      <c r="BN180" s="948"/>
      <c r="BO180" s="948"/>
      <c r="BP180" s="948"/>
      <c r="BQ180" s="948"/>
      <c r="BR180" s="948"/>
      <c r="BS180" s="948"/>
      <c r="BT180" s="948"/>
      <c r="BU180" s="948"/>
      <c r="BV180" s="948"/>
      <c r="BW180" s="948"/>
      <c r="BX180" s="948"/>
      <c r="BY180" s="948"/>
      <c r="BZ180" s="948"/>
    </row>
    <row r="181" spans="39:78" s="165" customFormat="1">
      <c r="AM181" s="948"/>
      <c r="AN181" s="948"/>
      <c r="AO181" s="948"/>
      <c r="AP181" s="948"/>
      <c r="AQ181" s="948"/>
      <c r="AR181" s="948"/>
      <c r="AS181" s="948"/>
      <c r="AT181" s="948"/>
      <c r="AU181" s="948"/>
      <c r="AV181" s="948"/>
      <c r="AW181" s="948"/>
      <c r="AX181" s="948"/>
      <c r="AY181" s="948"/>
      <c r="AZ181" s="948"/>
      <c r="BA181" s="948"/>
      <c r="BB181" s="948"/>
      <c r="BC181" s="948"/>
      <c r="BD181" s="948"/>
      <c r="BE181" s="948"/>
      <c r="BF181" s="948"/>
      <c r="BG181" s="948"/>
      <c r="BH181" s="948"/>
      <c r="BI181" s="948"/>
      <c r="BJ181" s="948"/>
      <c r="BK181" s="948"/>
      <c r="BL181" s="948"/>
      <c r="BM181" s="948"/>
      <c r="BN181" s="948"/>
      <c r="BO181" s="948"/>
      <c r="BP181" s="948"/>
      <c r="BQ181" s="948"/>
      <c r="BR181" s="948"/>
      <c r="BS181" s="948"/>
      <c r="BT181" s="948"/>
      <c r="BU181" s="948"/>
      <c r="BV181" s="948"/>
      <c r="BW181" s="948"/>
      <c r="BX181" s="948"/>
      <c r="BY181" s="948"/>
      <c r="BZ181" s="948"/>
    </row>
    <row r="182" spans="39:78" s="165" customFormat="1">
      <c r="AM182" s="948"/>
      <c r="AN182" s="948"/>
      <c r="AO182" s="948"/>
      <c r="AP182" s="948"/>
      <c r="AQ182" s="948"/>
      <c r="AR182" s="948"/>
      <c r="AS182" s="948"/>
      <c r="AT182" s="948"/>
      <c r="AU182" s="948"/>
      <c r="AV182" s="948"/>
      <c r="AW182" s="948"/>
      <c r="AX182" s="948"/>
      <c r="AY182" s="948"/>
      <c r="AZ182" s="948"/>
      <c r="BA182" s="948"/>
      <c r="BB182" s="948"/>
      <c r="BC182" s="948"/>
      <c r="BD182" s="948"/>
      <c r="BE182" s="948"/>
      <c r="BF182" s="948"/>
      <c r="BG182" s="948"/>
      <c r="BH182" s="948"/>
      <c r="BI182" s="948"/>
      <c r="BJ182" s="948"/>
      <c r="BK182" s="948"/>
      <c r="BL182" s="948"/>
      <c r="BM182" s="948"/>
      <c r="BN182" s="948"/>
      <c r="BO182" s="948"/>
      <c r="BP182" s="948"/>
      <c r="BQ182" s="948"/>
      <c r="BR182" s="948"/>
      <c r="BS182" s="948"/>
      <c r="BT182" s="948"/>
      <c r="BU182" s="948"/>
      <c r="BV182" s="948"/>
      <c r="BW182" s="948"/>
      <c r="BX182" s="948"/>
      <c r="BY182" s="948"/>
      <c r="BZ182" s="948"/>
    </row>
    <row r="183" spans="39:78" s="165" customFormat="1">
      <c r="AM183" s="948"/>
      <c r="AN183" s="948"/>
      <c r="AO183" s="948"/>
      <c r="AP183" s="948"/>
      <c r="AQ183" s="948"/>
      <c r="AR183" s="948"/>
      <c r="AS183" s="948"/>
      <c r="AT183" s="948"/>
      <c r="AU183" s="948"/>
      <c r="AV183" s="948"/>
      <c r="AW183" s="948"/>
      <c r="AX183" s="948"/>
      <c r="AY183" s="948"/>
      <c r="AZ183" s="948"/>
      <c r="BA183" s="948"/>
      <c r="BB183" s="948"/>
      <c r="BC183" s="948"/>
      <c r="BD183" s="948"/>
      <c r="BE183" s="948"/>
      <c r="BF183" s="948"/>
      <c r="BG183" s="948"/>
      <c r="BH183" s="948"/>
      <c r="BI183" s="948"/>
      <c r="BJ183" s="948"/>
      <c r="BK183" s="948"/>
      <c r="BL183" s="948"/>
      <c r="BM183" s="948"/>
      <c r="BN183" s="948"/>
      <c r="BO183" s="948"/>
      <c r="BP183" s="948"/>
      <c r="BQ183" s="948"/>
      <c r="BR183" s="948"/>
      <c r="BS183" s="948"/>
      <c r="BT183" s="948"/>
      <c r="BU183" s="948"/>
      <c r="BV183" s="948"/>
      <c r="BW183" s="948"/>
      <c r="BX183" s="948"/>
      <c r="BY183" s="948"/>
      <c r="BZ183" s="948"/>
    </row>
    <row r="184" spans="39:78" s="165" customFormat="1">
      <c r="AM184" s="948"/>
      <c r="AN184" s="948"/>
      <c r="AO184" s="948"/>
      <c r="AP184" s="948"/>
      <c r="AQ184" s="948"/>
      <c r="AR184" s="948"/>
      <c r="AS184" s="948"/>
      <c r="AT184" s="948"/>
      <c r="AU184" s="948"/>
      <c r="AV184" s="948"/>
      <c r="AW184" s="948"/>
      <c r="AX184" s="948"/>
      <c r="AY184" s="948"/>
      <c r="AZ184" s="948"/>
      <c r="BA184" s="948"/>
      <c r="BB184" s="948"/>
      <c r="BC184" s="948"/>
      <c r="BD184" s="948"/>
      <c r="BE184" s="948"/>
      <c r="BF184" s="948"/>
      <c r="BG184" s="948"/>
      <c r="BH184" s="948"/>
      <c r="BI184" s="948"/>
      <c r="BJ184" s="948"/>
      <c r="BK184" s="948"/>
      <c r="BL184" s="948"/>
      <c r="BM184" s="948"/>
      <c r="BN184" s="948"/>
      <c r="BO184" s="948"/>
      <c r="BP184" s="948"/>
      <c r="BQ184" s="948"/>
      <c r="BR184" s="948"/>
      <c r="BS184" s="948"/>
      <c r="BT184" s="948"/>
      <c r="BU184" s="948"/>
      <c r="BV184" s="948"/>
      <c r="BW184" s="948"/>
      <c r="BX184" s="948"/>
      <c r="BY184" s="948"/>
      <c r="BZ184" s="948"/>
    </row>
    <row r="185" spans="39:78" s="165" customFormat="1">
      <c r="AM185" s="948"/>
      <c r="AN185" s="948"/>
      <c r="AO185" s="948"/>
      <c r="AP185" s="948"/>
      <c r="AQ185" s="948"/>
      <c r="AR185" s="948"/>
      <c r="AS185" s="948"/>
      <c r="AT185" s="948"/>
      <c r="AU185" s="948"/>
      <c r="AV185" s="948"/>
      <c r="AW185" s="948"/>
      <c r="AX185" s="948"/>
      <c r="AY185" s="948"/>
      <c r="AZ185" s="948"/>
      <c r="BA185" s="948"/>
      <c r="BB185" s="948"/>
      <c r="BC185" s="948"/>
      <c r="BD185" s="948"/>
      <c r="BE185" s="948"/>
      <c r="BF185" s="948"/>
      <c r="BG185" s="948"/>
      <c r="BH185" s="948"/>
      <c r="BI185" s="948"/>
      <c r="BJ185" s="948"/>
      <c r="BK185" s="948"/>
      <c r="BL185" s="948"/>
      <c r="BM185" s="948"/>
      <c r="BN185" s="948"/>
      <c r="BO185" s="948"/>
      <c r="BP185" s="948"/>
      <c r="BQ185" s="948"/>
      <c r="BR185" s="948"/>
      <c r="BS185" s="948"/>
      <c r="BT185" s="948"/>
      <c r="BU185" s="948"/>
      <c r="BV185" s="948"/>
      <c r="BW185" s="948"/>
      <c r="BX185" s="948"/>
      <c r="BY185" s="948"/>
      <c r="BZ185" s="948"/>
    </row>
    <row r="186" spans="39:78" s="165" customFormat="1">
      <c r="AM186" s="948"/>
      <c r="AN186" s="948"/>
      <c r="AO186" s="948"/>
      <c r="AP186" s="948"/>
      <c r="AQ186" s="948"/>
      <c r="AR186" s="948"/>
      <c r="AS186" s="948"/>
      <c r="AT186" s="948"/>
      <c r="AU186" s="948"/>
      <c r="AV186" s="948"/>
      <c r="AW186" s="948"/>
      <c r="AX186" s="948"/>
      <c r="AY186" s="948"/>
      <c r="AZ186" s="948"/>
      <c r="BA186" s="948"/>
      <c r="BB186" s="948"/>
      <c r="BC186" s="948"/>
      <c r="BD186" s="948"/>
      <c r="BE186" s="948"/>
      <c r="BF186" s="948"/>
      <c r="BG186" s="948"/>
      <c r="BH186" s="948"/>
      <c r="BI186" s="948"/>
      <c r="BJ186" s="948"/>
      <c r="BK186" s="948"/>
      <c r="BL186" s="948"/>
      <c r="BM186" s="948"/>
      <c r="BN186" s="948"/>
      <c r="BO186" s="948"/>
      <c r="BP186" s="948"/>
      <c r="BQ186" s="948"/>
      <c r="BR186" s="948"/>
      <c r="BS186" s="948"/>
      <c r="BT186" s="948"/>
      <c r="BU186" s="948"/>
      <c r="BV186" s="948"/>
      <c r="BW186" s="948"/>
      <c r="BX186" s="948"/>
      <c r="BY186" s="948"/>
      <c r="BZ186" s="948"/>
    </row>
    <row r="187" spans="39:78" s="165" customFormat="1">
      <c r="AM187" s="948"/>
      <c r="AN187" s="948"/>
      <c r="AO187" s="948"/>
      <c r="AP187" s="948"/>
      <c r="AQ187" s="948"/>
      <c r="AR187" s="948"/>
      <c r="AS187" s="948"/>
      <c r="AT187" s="948"/>
      <c r="AU187" s="948"/>
      <c r="AV187" s="948"/>
      <c r="AW187" s="948"/>
      <c r="AX187" s="948"/>
      <c r="AY187" s="948"/>
      <c r="AZ187" s="948"/>
      <c r="BA187" s="948"/>
      <c r="BB187" s="948"/>
      <c r="BC187" s="948"/>
      <c r="BD187" s="948"/>
      <c r="BE187" s="948"/>
      <c r="BF187" s="948"/>
      <c r="BG187" s="948"/>
      <c r="BH187" s="948"/>
      <c r="BI187" s="948"/>
      <c r="BJ187" s="948"/>
      <c r="BK187" s="948"/>
      <c r="BL187" s="948"/>
      <c r="BM187" s="948"/>
      <c r="BN187" s="948"/>
      <c r="BO187" s="948"/>
      <c r="BP187" s="948"/>
      <c r="BQ187" s="948"/>
      <c r="BR187" s="948"/>
      <c r="BS187" s="948"/>
      <c r="BT187" s="948"/>
      <c r="BU187" s="948"/>
      <c r="BV187" s="948"/>
      <c r="BW187" s="948"/>
      <c r="BX187" s="948"/>
      <c r="BY187" s="948"/>
      <c r="BZ187" s="948"/>
    </row>
    <row r="188" spans="39:78" s="165" customFormat="1">
      <c r="AM188" s="948"/>
      <c r="AN188" s="948"/>
      <c r="AO188" s="948"/>
      <c r="AP188" s="948"/>
      <c r="AQ188" s="948"/>
      <c r="AR188" s="948"/>
      <c r="AS188" s="948"/>
      <c r="AT188" s="948"/>
      <c r="AU188" s="948"/>
      <c r="AV188" s="948"/>
      <c r="AW188" s="948"/>
      <c r="AX188" s="948"/>
      <c r="AY188" s="948"/>
      <c r="AZ188" s="948"/>
      <c r="BA188" s="948"/>
      <c r="BB188" s="948"/>
      <c r="BC188" s="948"/>
      <c r="BD188" s="948"/>
      <c r="BE188" s="948"/>
      <c r="BF188" s="948"/>
      <c r="BG188" s="948"/>
      <c r="BH188" s="948"/>
      <c r="BI188" s="948"/>
      <c r="BJ188" s="948"/>
      <c r="BK188" s="948"/>
      <c r="BL188" s="948"/>
      <c r="BM188" s="948"/>
      <c r="BN188" s="948"/>
      <c r="BO188" s="948"/>
      <c r="BP188" s="948"/>
      <c r="BQ188" s="948"/>
      <c r="BR188" s="948"/>
      <c r="BS188" s="948"/>
      <c r="BT188" s="948"/>
      <c r="BU188" s="948"/>
      <c r="BV188" s="948"/>
      <c r="BW188" s="948"/>
      <c r="BX188" s="948"/>
      <c r="BY188" s="948"/>
      <c r="BZ188" s="948"/>
    </row>
    <row r="189" spans="39:78" s="165" customFormat="1">
      <c r="AM189" s="948"/>
      <c r="AN189" s="948"/>
      <c r="AO189" s="948"/>
      <c r="AP189" s="948"/>
      <c r="AQ189" s="948"/>
      <c r="AR189" s="948"/>
      <c r="AS189" s="948"/>
      <c r="AT189" s="948"/>
      <c r="AU189" s="948"/>
      <c r="AV189" s="948"/>
      <c r="AW189" s="948"/>
      <c r="AX189" s="948"/>
      <c r="AY189" s="948"/>
      <c r="AZ189" s="948"/>
      <c r="BA189" s="948"/>
      <c r="BB189" s="948"/>
      <c r="BC189" s="948"/>
      <c r="BD189" s="948"/>
      <c r="BE189" s="948"/>
      <c r="BF189" s="948"/>
      <c r="BG189" s="948"/>
      <c r="BH189" s="948"/>
      <c r="BI189" s="948"/>
      <c r="BJ189" s="948"/>
      <c r="BK189" s="948"/>
      <c r="BL189" s="948"/>
      <c r="BM189" s="948"/>
      <c r="BN189" s="948"/>
      <c r="BO189" s="948"/>
      <c r="BP189" s="948"/>
      <c r="BQ189" s="948"/>
      <c r="BR189" s="948"/>
      <c r="BS189" s="948"/>
      <c r="BT189" s="948"/>
      <c r="BU189" s="948"/>
      <c r="BV189" s="948"/>
      <c r="BW189" s="948"/>
      <c r="BX189" s="948"/>
      <c r="BY189" s="948"/>
      <c r="BZ189" s="948"/>
    </row>
    <row r="190" spans="39:78" s="165" customFormat="1">
      <c r="AM190" s="948"/>
      <c r="AN190" s="948"/>
      <c r="AO190" s="948"/>
      <c r="AP190" s="948"/>
      <c r="AQ190" s="948"/>
      <c r="AR190" s="948"/>
      <c r="AS190" s="948"/>
      <c r="AT190" s="948"/>
      <c r="AU190" s="948"/>
      <c r="AV190" s="948"/>
      <c r="AW190" s="948"/>
      <c r="AX190" s="948"/>
      <c r="AY190" s="948"/>
      <c r="AZ190" s="948"/>
      <c r="BA190" s="948"/>
      <c r="BB190" s="948"/>
      <c r="BC190" s="948"/>
      <c r="BD190" s="948"/>
      <c r="BE190" s="948"/>
      <c r="BF190" s="948"/>
      <c r="BG190" s="948"/>
      <c r="BH190" s="948"/>
      <c r="BI190" s="948"/>
      <c r="BJ190" s="948"/>
      <c r="BK190" s="948"/>
      <c r="BL190" s="948"/>
      <c r="BM190" s="948"/>
      <c r="BN190" s="948"/>
      <c r="BO190" s="948"/>
      <c r="BP190" s="948"/>
      <c r="BQ190" s="948"/>
      <c r="BR190" s="948"/>
      <c r="BS190" s="948"/>
      <c r="BT190" s="948"/>
      <c r="BU190" s="948"/>
      <c r="BV190" s="948"/>
      <c r="BW190" s="948"/>
      <c r="BX190" s="948"/>
      <c r="BY190" s="948"/>
      <c r="BZ190" s="948"/>
    </row>
    <row r="191" spans="39:78" s="165" customFormat="1">
      <c r="AM191" s="948"/>
      <c r="AN191" s="948"/>
      <c r="AO191" s="948"/>
      <c r="AP191" s="948"/>
      <c r="AQ191" s="948"/>
      <c r="AR191" s="948"/>
      <c r="AS191" s="948"/>
      <c r="AT191" s="948"/>
      <c r="AU191" s="948"/>
      <c r="AV191" s="948"/>
      <c r="AW191" s="948"/>
      <c r="AX191" s="948"/>
      <c r="AY191" s="948"/>
      <c r="AZ191" s="948"/>
      <c r="BA191" s="948"/>
      <c r="BB191" s="948"/>
      <c r="BC191" s="948"/>
      <c r="BD191" s="948"/>
      <c r="BE191" s="948"/>
      <c r="BF191" s="948"/>
      <c r="BG191" s="948"/>
      <c r="BH191" s="948"/>
      <c r="BI191" s="948"/>
      <c r="BJ191" s="948"/>
      <c r="BK191" s="948"/>
      <c r="BL191" s="948"/>
      <c r="BM191" s="948"/>
      <c r="BN191" s="948"/>
      <c r="BO191" s="948"/>
      <c r="BP191" s="948"/>
      <c r="BQ191" s="948"/>
      <c r="BR191" s="948"/>
      <c r="BS191" s="948"/>
      <c r="BT191" s="948"/>
      <c r="BU191" s="948"/>
      <c r="BV191" s="948"/>
      <c r="BW191" s="948"/>
      <c r="BX191" s="948"/>
      <c r="BY191" s="948"/>
      <c r="BZ191" s="948"/>
    </row>
    <row r="192" spans="39:78" s="165" customFormat="1">
      <c r="AM192" s="948"/>
      <c r="AN192" s="948"/>
      <c r="AO192" s="948"/>
      <c r="AP192" s="948"/>
      <c r="AQ192" s="948"/>
      <c r="AR192" s="948"/>
      <c r="AS192" s="948"/>
      <c r="AT192" s="948"/>
      <c r="AU192" s="948"/>
      <c r="AV192" s="948"/>
      <c r="AW192" s="948"/>
      <c r="AX192" s="948"/>
      <c r="AY192" s="948"/>
      <c r="AZ192" s="948"/>
      <c r="BA192" s="948"/>
      <c r="BB192" s="948"/>
      <c r="BC192" s="948"/>
      <c r="BD192" s="948"/>
      <c r="BE192" s="948"/>
      <c r="BF192" s="948"/>
      <c r="BG192" s="948"/>
      <c r="BH192" s="948"/>
      <c r="BI192" s="948"/>
      <c r="BJ192" s="948"/>
      <c r="BK192" s="948"/>
      <c r="BL192" s="948"/>
      <c r="BM192" s="948"/>
      <c r="BN192" s="948"/>
      <c r="BO192" s="948"/>
      <c r="BP192" s="948"/>
      <c r="BQ192" s="948"/>
      <c r="BR192" s="948"/>
      <c r="BS192" s="948"/>
      <c r="BT192" s="948"/>
      <c r="BU192" s="948"/>
      <c r="BV192" s="948"/>
      <c r="BW192" s="948"/>
      <c r="BX192" s="948"/>
      <c r="BY192" s="948"/>
      <c r="BZ192" s="948"/>
    </row>
    <row r="193" spans="39:78" s="165" customFormat="1">
      <c r="AM193" s="948"/>
      <c r="AN193" s="948"/>
      <c r="AO193" s="948"/>
      <c r="AP193" s="948"/>
      <c r="AQ193" s="948"/>
      <c r="AR193" s="948"/>
      <c r="AS193" s="948"/>
      <c r="AT193" s="948"/>
      <c r="AU193" s="948"/>
      <c r="AV193" s="948"/>
      <c r="AW193" s="948"/>
      <c r="AX193" s="948"/>
      <c r="AY193" s="948"/>
      <c r="AZ193" s="948"/>
      <c r="BA193" s="948"/>
      <c r="BB193" s="948"/>
      <c r="BC193" s="948"/>
      <c r="BD193" s="948"/>
      <c r="BE193" s="948"/>
      <c r="BF193" s="948"/>
      <c r="BG193" s="948"/>
      <c r="BH193" s="948"/>
      <c r="BI193" s="948"/>
      <c r="BJ193" s="948"/>
      <c r="BK193" s="948"/>
      <c r="BL193" s="948"/>
      <c r="BM193" s="948"/>
      <c r="BN193" s="948"/>
      <c r="BO193" s="948"/>
      <c r="BP193" s="948"/>
      <c r="BQ193" s="948"/>
      <c r="BR193" s="948"/>
      <c r="BS193" s="948"/>
      <c r="BT193" s="948"/>
      <c r="BU193" s="948"/>
      <c r="BV193" s="948"/>
      <c r="BW193" s="948"/>
      <c r="BX193" s="948"/>
      <c r="BY193" s="948"/>
      <c r="BZ193" s="948"/>
    </row>
    <row r="194" spans="39:78" s="165" customFormat="1">
      <c r="AM194" s="948"/>
      <c r="AN194" s="948"/>
      <c r="AO194" s="948"/>
      <c r="AP194" s="948"/>
      <c r="AQ194" s="948"/>
      <c r="AR194" s="948"/>
      <c r="AS194" s="948"/>
      <c r="AT194" s="948"/>
      <c r="AU194" s="948"/>
      <c r="AV194" s="948"/>
      <c r="AW194" s="948"/>
      <c r="AX194" s="948"/>
      <c r="AY194" s="948"/>
      <c r="AZ194" s="948"/>
      <c r="BA194" s="948"/>
      <c r="BB194" s="948"/>
      <c r="BC194" s="948"/>
      <c r="BD194" s="948"/>
      <c r="BE194" s="948"/>
      <c r="BF194" s="948"/>
      <c r="BG194" s="948"/>
      <c r="BH194" s="948"/>
      <c r="BI194" s="948"/>
      <c r="BJ194" s="948"/>
      <c r="BK194" s="948"/>
      <c r="BL194" s="948"/>
      <c r="BM194" s="948"/>
      <c r="BN194" s="948"/>
      <c r="BO194" s="948"/>
      <c r="BP194" s="948"/>
      <c r="BQ194" s="948"/>
      <c r="BR194" s="948"/>
      <c r="BS194" s="948"/>
      <c r="BT194" s="948"/>
      <c r="BU194" s="948"/>
      <c r="BV194" s="948"/>
      <c r="BW194" s="948"/>
      <c r="BX194" s="948"/>
      <c r="BY194" s="948"/>
      <c r="BZ194" s="948"/>
    </row>
    <row r="195" spans="39:78" s="165" customFormat="1">
      <c r="AM195" s="948"/>
      <c r="AN195" s="948"/>
      <c r="AO195" s="948"/>
      <c r="AP195" s="948"/>
      <c r="AQ195" s="948"/>
      <c r="AR195" s="948"/>
      <c r="AS195" s="948"/>
      <c r="AT195" s="948"/>
      <c r="AU195" s="948"/>
      <c r="AV195" s="948"/>
      <c r="AW195" s="948"/>
      <c r="AX195" s="948"/>
      <c r="AY195" s="948"/>
      <c r="AZ195" s="948"/>
      <c r="BA195" s="948"/>
      <c r="BB195" s="948"/>
      <c r="BC195" s="948"/>
      <c r="BD195" s="948"/>
      <c r="BE195" s="948"/>
      <c r="BF195" s="948"/>
      <c r="BG195" s="948"/>
      <c r="BH195" s="948"/>
      <c r="BI195" s="948"/>
      <c r="BJ195" s="948"/>
      <c r="BK195" s="948"/>
      <c r="BL195" s="948"/>
      <c r="BM195" s="948"/>
      <c r="BN195" s="948"/>
      <c r="BO195" s="948"/>
      <c r="BP195" s="948"/>
      <c r="BQ195" s="948"/>
      <c r="BR195" s="948"/>
      <c r="BS195" s="948"/>
      <c r="BT195" s="948"/>
      <c r="BU195" s="948"/>
      <c r="BV195" s="948"/>
      <c r="BW195" s="948"/>
      <c r="BX195" s="948"/>
      <c r="BY195" s="948"/>
      <c r="BZ195" s="948"/>
    </row>
    <row r="196" spans="39:78" s="165" customFormat="1">
      <c r="AM196" s="948"/>
      <c r="AN196" s="948"/>
      <c r="AO196" s="948"/>
      <c r="AP196" s="948"/>
      <c r="AQ196" s="948"/>
      <c r="AR196" s="948"/>
      <c r="AS196" s="948"/>
      <c r="AT196" s="948"/>
      <c r="AU196" s="948"/>
      <c r="AV196" s="948"/>
      <c r="AW196" s="948"/>
      <c r="AX196" s="948"/>
      <c r="AY196" s="948"/>
      <c r="AZ196" s="948"/>
      <c r="BA196" s="948"/>
      <c r="BB196" s="948"/>
      <c r="BC196" s="948"/>
      <c r="BD196" s="948"/>
      <c r="BE196" s="948"/>
      <c r="BF196" s="948"/>
      <c r="BG196" s="948"/>
      <c r="BH196" s="948"/>
      <c r="BI196" s="948"/>
      <c r="BJ196" s="948"/>
      <c r="BK196" s="948"/>
      <c r="BL196" s="948"/>
      <c r="BM196" s="948"/>
      <c r="BN196" s="948"/>
      <c r="BO196" s="948"/>
      <c r="BP196" s="948"/>
      <c r="BQ196" s="948"/>
      <c r="BR196" s="948"/>
      <c r="BS196" s="948"/>
      <c r="BT196" s="948"/>
      <c r="BU196" s="948"/>
      <c r="BV196" s="948"/>
      <c r="BW196" s="948"/>
      <c r="BX196" s="948"/>
      <c r="BY196" s="948"/>
      <c r="BZ196" s="948"/>
    </row>
    <row r="197" spans="39:78" s="165" customFormat="1">
      <c r="AM197" s="948"/>
      <c r="AN197" s="948"/>
      <c r="AO197" s="948"/>
      <c r="AP197" s="948"/>
      <c r="AQ197" s="948"/>
      <c r="AR197" s="948"/>
      <c r="AS197" s="948"/>
      <c r="AT197" s="948"/>
      <c r="AU197" s="948"/>
      <c r="AV197" s="948"/>
      <c r="AW197" s="948"/>
      <c r="AX197" s="948"/>
      <c r="AY197" s="948"/>
      <c r="AZ197" s="948"/>
      <c r="BA197" s="948"/>
      <c r="BB197" s="948"/>
      <c r="BC197" s="948"/>
      <c r="BD197" s="948"/>
      <c r="BE197" s="948"/>
      <c r="BF197" s="948"/>
      <c r="BG197" s="948"/>
      <c r="BH197" s="948"/>
      <c r="BI197" s="948"/>
      <c r="BJ197" s="948"/>
      <c r="BK197" s="948"/>
      <c r="BL197" s="948"/>
      <c r="BM197" s="948"/>
      <c r="BN197" s="948"/>
      <c r="BO197" s="948"/>
      <c r="BP197" s="948"/>
      <c r="BQ197" s="948"/>
      <c r="BR197" s="948"/>
      <c r="BS197" s="948"/>
      <c r="BT197" s="948"/>
      <c r="BU197" s="948"/>
      <c r="BV197" s="948"/>
      <c r="BW197" s="948"/>
      <c r="BX197" s="948"/>
      <c r="BY197" s="948"/>
      <c r="BZ197" s="948"/>
    </row>
    <row r="198" spans="39:78" s="165" customFormat="1">
      <c r="AM198" s="948"/>
      <c r="AN198" s="948"/>
      <c r="AO198" s="948"/>
      <c r="AP198" s="948"/>
      <c r="AQ198" s="948"/>
      <c r="AR198" s="948"/>
      <c r="AS198" s="948"/>
      <c r="AT198" s="948"/>
      <c r="AU198" s="948"/>
      <c r="AV198" s="948"/>
      <c r="AW198" s="948"/>
      <c r="AX198" s="948"/>
      <c r="AY198" s="948"/>
      <c r="AZ198" s="948"/>
      <c r="BA198" s="948"/>
      <c r="BB198" s="948"/>
      <c r="BC198" s="948"/>
      <c r="BD198" s="948"/>
      <c r="BE198" s="948"/>
      <c r="BF198" s="948"/>
      <c r="BG198" s="948"/>
      <c r="BH198" s="948"/>
      <c r="BI198" s="948"/>
      <c r="BJ198" s="948"/>
      <c r="BK198" s="948"/>
      <c r="BL198" s="948"/>
      <c r="BM198" s="948"/>
      <c r="BN198" s="948"/>
      <c r="BO198" s="948"/>
      <c r="BP198" s="948"/>
      <c r="BQ198" s="948"/>
      <c r="BR198" s="948"/>
      <c r="BS198" s="948"/>
      <c r="BT198" s="948"/>
      <c r="BU198" s="948"/>
      <c r="BV198" s="948"/>
      <c r="BW198" s="948"/>
      <c r="BX198" s="948"/>
      <c r="BY198" s="948"/>
      <c r="BZ198" s="948"/>
    </row>
    <row r="199" spans="39:78" s="165" customFormat="1">
      <c r="AM199" s="948"/>
      <c r="AN199" s="948"/>
      <c r="AO199" s="948"/>
      <c r="AP199" s="948"/>
      <c r="AQ199" s="948"/>
      <c r="AR199" s="948"/>
      <c r="AS199" s="948"/>
      <c r="AT199" s="948"/>
      <c r="AU199" s="948"/>
      <c r="AV199" s="948"/>
      <c r="AW199" s="948"/>
      <c r="AX199" s="948"/>
      <c r="AY199" s="948"/>
      <c r="AZ199" s="948"/>
      <c r="BA199" s="948"/>
      <c r="BB199" s="948"/>
      <c r="BC199" s="948"/>
      <c r="BD199" s="948"/>
      <c r="BE199" s="948"/>
      <c r="BF199" s="948"/>
      <c r="BG199" s="948"/>
      <c r="BH199" s="948"/>
      <c r="BI199" s="948"/>
      <c r="BJ199" s="948"/>
      <c r="BK199" s="948"/>
      <c r="BL199" s="948"/>
      <c r="BM199" s="948"/>
      <c r="BN199" s="948"/>
      <c r="BO199" s="948"/>
      <c r="BP199" s="948"/>
      <c r="BQ199" s="948"/>
      <c r="BR199" s="948"/>
      <c r="BS199" s="948"/>
      <c r="BT199" s="948"/>
      <c r="BU199" s="948"/>
      <c r="BV199" s="948"/>
      <c r="BW199" s="948"/>
      <c r="BX199" s="948"/>
      <c r="BY199" s="948"/>
      <c r="BZ199" s="948"/>
    </row>
    <row r="200" spans="39:78" s="165" customFormat="1">
      <c r="AM200" s="948"/>
      <c r="AN200" s="948"/>
      <c r="AO200" s="948"/>
      <c r="AP200" s="948"/>
      <c r="AQ200" s="948"/>
      <c r="AR200" s="948"/>
      <c r="AS200" s="948"/>
      <c r="AT200" s="948"/>
      <c r="AU200" s="948"/>
      <c r="AV200" s="948"/>
      <c r="AW200" s="948"/>
      <c r="AX200" s="948"/>
      <c r="AY200" s="948"/>
      <c r="AZ200" s="948"/>
      <c r="BA200" s="948"/>
      <c r="BB200" s="948"/>
      <c r="BC200" s="948"/>
      <c r="BD200" s="948"/>
      <c r="BE200" s="948"/>
      <c r="BF200" s="948"/>
      <c r="BG200" s="948"/>
      <c r="BH200" s="948"/>
      <c r="BI200" s="948"/>
      <c r="BJ200" s="948"/>
      <c r="BK200" s="948"/>
      <c r="BL200" s="948"/>
      <c r="BM200" s="948"/>
      <c r="BN200" s="948"/>
      <c r="BO200" s="948"/>
      <c r="BP200" s="948"/>
      <c r="BQ200" s="948"/>
      <c r="BR200" s="948"/>
      <c r="BS200" s="948"/>
      <c r="BT200" s="948"/>
      <c r="BU200" s="948"/>
      <c r="BV200" s="948"/>
      <c r="BW200" s="948"/>
      <c r="BX200" s="948"/>
      <c r="BY200" s="948"/>
      <c r="BZ200" s="948"/>
    </row>
    <row r="201" spans="39:78" s="165" customFormat="1">
      <c r="AM201" s="948"/>
      <c r="AN201" s="948"/>
      <c r="AO201" s="948"/>
      <c r="AP201" s="948"/>
      <c r="AQ201" s="948"/>
      <c r="AR201" s="948"/>
      <c r="AS201" s="948"/>
      <c r="AT201" s="948"/>
      <c r="AU201" s="948"/>
      <c r="AV201" s="948"/>
      <c r="AW201" s="948"/>
      <c r="AX201" s="948"/>
      <c r="AY201" s="948"/>
      <c r="AZ201" s="948"/>
      <c r="BA201" s="948"/>
      <c r="BB201" s="948"/>
      <c r="BC201" s="948"/>
      <c r="BD201" s="948"/>
      <c r="BE201" s="948"/>
      <c r="BF201" s="948"/>
      <c r="BG201" s="948"/>
      <c r="BH201" s="948"/>
      <c r="BI201" s="948"/>
      <c r="BJ201" s="948"/>
      <c r="BK201" s="948"/>
      <c r="BL201" s="948"/>
      <c r="BM201" s="948"/>
      <c r="BN201" s="948"/>
      <c r="BO201" s="948"/>
      <c r="BP201" s="948"/>
      <c r="BQ201" s="948"/>
      <c r="BR201" s="948"/>
      <c r="BS201" s="948"/>
      <c r="BT201" s="948"/>
      <c r="BU201" s="948"/>
      <c r="BV201" s="948"/>
      <c r="BW201" s="948"/>
      <c r="BX201" s="948"/>
      <c r="BY201" s="948"/>
      <c r="BZ201" s="948"/>
    </row>
    <row r="202" spans="39:78" s="165" customFormat="1">
      <c r="AM202" s="948"/>
      <c r="AN202" s="948"/>
      <c r="AO202" s="948"/>
      <c r="AP202" s="948"/>
      <c r="AQ202" s="948"/>
      <c r="AR202" s="948"/>
      <c r="AS202" s="948"/>
      <c r="AT202" s="948"/>
      <c r="AU202" s="948"/>
      <c r="AV202" s="948"/>
      <c r="AW202" s="948"/>
      <c r="AX202" s="948"/>
      <c r="AY202" s="948"/>
      <c r="AZ202" s="948"/>
      <c r="BA202" s="948"/>
      <c r="BB202" s="948"/>
      <c r="BC202" s="948"/>
      <c r="BD202" s="948"/>
      <c r="BE202" s="948"/>
      <c r="BF202" s="948"/>
      <c r="BG202" s="948"/>
      <c r="BH202" s="948"/>
      <c r="BI202" s="948"/>
      <c r="BJ202" s="948"/>
      <c r="BK202" s="948"/>
      <c r="BL202" s="948"/>
      <c r="BM202" s="948"/>
      <c r="BN202" s="948"/>
      <c r="BO202" s="948"/>
      <c r="BP202" s="948"/>
      <c r="BQ202" s="948"/>
      <c r="BR202" s="948"/>
      <c r="BS202" s="948"/>
      <c r="BT202" s="948"/>
      <c r="BU202" s="948"/>
      <c r="BV202" s="948"/>
      <c r="BW202" s="948"/>
      <c r="BX202" s="948"/>
      <c r="BY202" s="948"/>
      <c r="BZ202" s="948"/>
    </row>
    <row r="203" spans="39:78" s="165" customFormat="1">
      <c r="AM203" s="948"/>
      <c r="AN203" s="948"/>
      <c r="AO203" s="948"/>
      <c r="AP203" s="948"/>
      <c r="AQ203" s="948"/>
      <c r="AR203" s="948"/>
      <c r="AS203" s="948"/>
      <c r="AT203" s="948"/>
      <c r="AU203" s="948"/>
      <c r="AV203" s="948"/>
      <c r="AW203" s="948"/>
      <c r="AX203" s="948"/>
      <c r="AY203" s="948"/>
      <c r="AZ203" s="948"/>
      <c r="BA203" s="948"/>
      <c r="BB203" s="948"/>
      <c r="BC203" s="948"/>
      <c r="BD203" s="948"/>
      <c r="BE203" s="948"/>
      <c r="BF203" s="948"/>
      <c r="BG203" s="948"/>
      <c r="BH203" s="948"/>
      <c r="BI203" s="948"/>
      <c r="BJ203" s="948"/>
      <c r="BK203" s="948"/>
      <c r="BL203" s="948"/>
      <c r="BM203" s="948"/>
      <c r="BN203" s="948"/>
      <c r="BO203" s="948"/>
      <c r="BP203" s="948"/>
      <c r="BQ203" s="948"/>
      <c r="BR203" s="948"/>
      <c r="BS203" s="948"/>
      <c r="BT203" s="948"/>
      <c r="BU203" s="948"/>
      <c r="BV203" s="948"/>
      <c r="BW203" s="948"/>
      <c r="BX203" s="948"/>
      <c r="BY203" s="948"/>
      <c r="BZ203" s="948"/>
    </row>
    <row r="204" spans="39:78" s="165" customFormat="1">
      <c r="AM204" s="948"/>
      <c r="AN204" s="948"/>
      <c r="AO204" s="948"/>
      <c r="AP204" s="948"/>
      <c r="AQ204" s="948"/>
      <c r="AR204" s="948"/>
      <c r="AS204" s="948"/>
      <c r="AT204" s="948"/>
      <c r="AU204" s="948"/>
      <c r="AV204" s="948"/>
      <c r="AW204" s="948"/>
      <c r="AX204" s="948"/>
      <c r="AY204" s="948"/>
      <c r="AZ204" s="948"/>
      <c r="BA204" s="948"/>
      <c r="BB204" s="948"/>
      <c r="BC204" s="948"/>
      <c r="BD204" s="948"/>
      <c r="BE204" s="948"/>
      <c r="BF204" s="948"/>
      <c r="BG204" s="948"/>
      <c r="BH204" s="948"/>
      <c r="BI204" s="948"/>
      <c r="BJ204" s="948"/>
      <c r="BK204" s="948"/>
      <c r="BL204" s="948"/>
      <c r="BM204" s="948"/>
      <c r="BN204" s="948"/>
      <c r="BO204" s="948"/>
      <c r="BP204" s="948"/>
      <c r="BQ204" s="948"/>
      <c r="BR204" s="948"/>
      <c r="BS204" s="948"/>
      <c r="BT204" s="948"/>
      <c r="BU204" s="948"/>
      <c r="BV204" s="948"/>
      <c r="BW204" s="948"/>
      <c r="BX204" s="948"/>
      <c r="BY204" s="948"/>
      <c r="BZ204" s="948"/>
    </row>
    <row r="205" spans="39:78" s="165" customFormat="1">
      <c r="AM205" s="948"/>
      <c r="AN205" s="948"/>
      <c r="AO205" s="948"/>
      <c r="AP205" s="948"/>
      <c r="AQ205" s="948"/>
      <c r="AR205" s="948"/>
      <c r="AS205" s="948"/>
      <c r="AT205" s="948"/>
      <c r="AU205" s="948"/>
      <c r="AV205" s="948"/>
      <c r="AW205" s="948"/>
      <c r="AX205" s="948"/>
      <c r="AY205" s="948"/>
      <c r="AZ205" s="948"/>
      <c r="BA205" s="948"/>
      <c r="BB205" s="948"/>
      <c r="BC205" s="948"/>
      <c r="BD205" s="948"/>
      <c r="BE205" s="948"/>
      <c r="BF205" s="948"/>
      <c r="BG205" s="948"/>
      <c r="BH205" s="948"/>
      <c r="BI205" s="948"/>
      <c r="BJ205" s="948"/>
      <c r="BK205" s="948"/>
      <c r="BL205" s="948"/>
      <c r="BM205" s="948"/>
      <c r="BN205" s="948"/>
      <c r="BO205" s="948"/>
      <c r="BP205" s="948"/>
      <c r="BQ205" s="948"/>
      <c r="BR205" s="948"/>
      <c r="BS205" s="948"/>
      <c r="BT205" s="948"/>
      <c r="BU205" s="948"/>
      <c r="BV205" s="948"/>
      <c r="BW205" s="948"/>
      <c r="BX205" s="948"/>
      <c r="BY205" s="948"/>
      <c r="BZ205" s="948"/>
    </row>
    <row r="206" spans="39:78" s="165" customFormat="1">
      <c r="AM206" s="948"/>
      <c r="AN206" s="948"/>
      <c r="AO206" s="948"/>
      <c r="AP206" s="948"/>
      <c r="AQ206" s="948"/>
      <c r="AR206" s="948"/>
      <c r="AS206" s="948"/>
      <c r="AT206" s="948"/>
      <c r="AU206" s="948"/>
      <c r="AV206" s="948"/>
      <c r="AW206" s="948"/>
      <c r="AX206" s="948"/>
      <c r="AY206" s="948"/>
      <c r="AZ206" s="948"/>
      <c r="BA206" s="948"/>
      <c r="BB206" s="948"/>
      <c r="BC206" s="948"/>
      <c r="BD206" s="948"/>
      <c r="BE206" s="948"/>
      <c r="BF206" s="948"/>
      <c r="BG206" s="948"/>
      <c r="BH206" s="948"/>
      <c r="BI206" s="948"/>
      <c r="BJ206" s="948"/>
      <c r="BK206" s="948"/>
      <c r="BL206" s="948"/>
      <c r="BM206" s="948"/>
      <c r="BN206" s="948"/>
      <c r="BO206" s="948"/>
      <c r="BP206" s="948"/>
      <c r="BQ206" s="948"/>
      <c r="BR206" s="948"/>
      <c r="BS206" s="948"/>
      <c r="BT206" s="948"/>
      <c r="BU206" s="948"/>
      <c r="BV206" s="948"/>
      <c r="BW206" s="948"/>
      <c r="BX206" s="948"/>
      <c r="BY206" s="948"/>
      <c r="BZ206" s="948"/>
    </row>
    <row r="207" spans="39:78" s="165" customFormat="1">
      <c r="AM207" s="948"/>
      <c r="AN207" s="948"/>
      <c r="AO207" s="948"/>
      <c r="AP207" s="948"/>
      <c r="AQ207" s="948"/>
      <c r="AR207" s="948"/>
      <c r="AS207" s="948"/>
      <c r="AT207" s="948"/>
      <c r="AU207" s="948"/>
      <c r="AV207" s="948"/>
      <c r="AW207" s="948"/>
      <c r="AX207" s="948"/>
      <c r="AY207" s="948"/>
      <c r="AZ207" s="948"/>
      <c r="BA207" s="948"/>
      <c r="BB207" s="948"/>
      <c r="BC207" s="948"/>
      <c r="BD207" s="948"/>
      <c r="BE207" s="948"/>
      <c r="BF207" s="948"/>
      <c r="BG207" s="948"/>
      <c r="BH207" s="948"/>
      <c r="BI207" s="948"/>
      <c r="BJ207" s="948"/>
      <c r="BK207" s="948"/>
      <c r="BL207" s="948"/>
      <c r="BM207" s="948"/>
      <c r="BN207" s="948"/>
      <c r="BO207" s="948"/>
      <c r="BP207" s="948"/>
      <c r="BQ207" s="948"/>
      <c r="BR207" s="948"/>
      <c r="BS207" s="948"/>
      <c r="BT207" s="948"/>
      <c r="BU207" s="948"/>
      <c r="BV207" s="948"/>
      <c r="BW207" s="948"/>
      <c r="BX207" s="948"/>
      <c r="BY207" s="948"/>
      <c r="BZ207" s="948"/>
    </row>
    <row r="208" spans="39:78" s="165" customFormat="1">
      <c r="AM208" s="948"/>
      <c r="AN208" s="948"/>
      <c r="AO208" s="948"/>
      <c r="AP208" s="948"/>
      <c r="AQ208" s="948"/>
      <c r="AR208" s="948"/>
      <c r="AS208" s="948"/>
      <c r="AT208" s="948"/>
      <c r="AU208" s="948"/>
      <c r="AV208" s="948"/>
      <c r="AW208" s="948"/>
      <c r="AX208" s="948"/>
      <c r="AY208" s="948"/>
      <c r="AZ208" s="948"/>
      <c r="BA208" s="948"/>
      <c r="BB208" s="948"/>
      <c r="BC208" s="948"/>
      <c r="BD208" s="948"/>
      <c r="BE208" s="948"/>
      <c r="BF208" s="948"/>
      <c r="BG208" s="948"/>
      <c r="BH208" s="948"/>
      <c r="BI208" s="948"/>
      <c r="BJ208" s="948"/>
      <c r="BK208" s="948"/>
      <c r="BL208" s="948"/>
      <c r="BM208" s="948"/>
      <c r="BN208" s="948"/>
      <c r="BO208" s="948"/>
      <c r="BP208" s="948"/>
      <c r="BQ208" s="948"/>
      <c r="BR208" s="948"/>
      <c r="BS208" s="948"/>
      <c r="BT208" s="948"/>
      <c r="BU208" s="948"/>
      <c r="BV208" s="948"/>
      <c r="BW208" s="948"/>
      <c r="BX208" s="948"/>
      <c r="BY208" s="948"/>
      <c r="BZ208" s="948"/>
    </row>
    <row r="209" spans="39:78" s="165" customFormat="1">
      <c r="AM209" s="948"/>
      <c r="AN209" s="948"/>
      <c r="AO209" s="948"/>
      <c r="AP209" s="948"/>
      <c r="AQ209" s="948"/>
      <c r="AR209" s="948"/>
      <c r="AS209" s="948"/>
      <c r="AT209" s="948"/>
      <c r="AU209" s="948"/>
      <c r="AV209" s="948"/>
      <c r="AW209" s="948"/>
      <c r="AX209" s="948"/>
      <c r="AY209" s="948"/>
      <c r="AZ209" s="948"/>
      <c r="BA209" s="948"/>
      <c r="BB209" s="948"/>
      <c r="BC209" s="948"/>
      <c r="BD209" s="948"/>
      <c r="BE209" s="948"/>
      <c r="BF209" s="948"/>
      <c r="BG209" s="948"/>
      <c r="BH209" s="948"/>
      <c r="BI209" s="948"/>
      <c r="BJ209" s="948"/>
      <c r="BK209" s="948"/>
      <c r="BL209" s="948"/>
      <c r="BM209" s="948"/>
      <c r="BN209" s="948"/>
      <c r="BO209" s="948"/>
      <c r="BP209" s="948"/>
      <c r="BQ209" s="948"/>
      <c r="BR209" s="948"/>
      <c r="BS209" s="948"/>
      <c r="BT209" s="948"/>
      <c r="BU209" s="948"/>
      <c r="BV209" s="948"/>
      <c r="BW209" s="948"/>
      <c r="BX209" s="948"/>
      <c r="BY209" s="948"/>
      <c r="BZ209" s="948"/>
    </row>
    <row r="210" spans="39:78" s="165" customFormat="1">
      <c r="AM210" s="948"/>
      <c r="AN210" s="948"/>
      <c r="AO210" s="948"/>
      <c r="AP210" s="948"/>
      <c r="AQ210" s="948"/>
      <c r="AR210" s="948"/>
      <c r="AS210" s="948"/>
      <c r="AT210" s="948"/>
      <c r="AU210" s="948"/>
      <c r="AV210" s="948"/>
      <c r="AW210" s="948"/>
      <c r="AX210" s="948"/>
      <c r="AY210" s="948"/>
      <c r="AZ210" s="948"/>
      <c r="BA210" s="948"/>
      <c r="BB210" s="948"/>
      <c r="BC210" s="948"/>
      <c r="BD210" s="948"/>
      <c r="BE210" s="948"/>
      <c r="BF210" s="948"/>
      <c r="BG210" s="948"/>
      <c r="BH210" s="948"/>
      <c r="BI210" s="948"/>
      <c r="BJ210" s="948"/>
      <c r="BK210" s="948"/>
      <c r="BL210" s="948"/>
      <c r="BM210" s="948"/>
      <c r="BN210" s="948"/>
      <c r="BO210" s="948"/>
      <c r="BP210" s="948"/>
      <c r="BQ210" s="948"/>
      <c r="BR210" s="948"/>
      <c r="BS210" s="948"/>
      <c r="BT210" s="948"/>
      <c r="BU210" s="948"/>
      <c r="BV210" s="948"/>
      <c r="BW210" s="948"/>
      <c r="BX210" s="948"/>
      <c r="BY210" s="948"/>
      <c r="BZ210" s="948"/>
    </row>
    <row r="211" spans="39:78" s="165" customFormat="1">
      <c r="AM211" s="948"/>
      <c r="AN211" s="948"/>
      <c r="AO211" s="948"/>
      <c r="AP211" s="948"/>
      <c r="AQ211" s="948"/>
      <c r="AR211" s="948"/>
      <c r="AS211" s="948"/>
      <c r="AT211" s="948"/>
      <c r="AU211" s="948"/>
      <c r="AV211" s="948"/>
      <c r="AW211" s="948"/>
      <c r="AX211" s="948"/>
      <c r="AY211" s="948"/>
      <c r="AZ211" s="948"/>
      <c r="BA211" s="948"/>
      <c r="BB211" s="948"/>
      <c r="BC211" s="948"/>
      <c r="BD211" s="948"/>
      <c r="BE211" s="948"/>
      <c r="BF211" s="948"/>
      <c r="BG211" s="948"/>
      <c r="BH211" s="948"/>
      <c r="BI211" s="948"/>
      <c r="BJ211" s="948"/>
      <c r="BK211" s="948"/>
      <c r="BL211" s="948"/>
      <c r="BM211" s="948"/>
      <c r="BN211" s="948"/>
      <c r="BO211" s="948"/>
      <c r="BP211" s="948"/>
      <c r="BQ211" s="948"/>
      <c r="BR211" s="948"/>
      <c r="BS211" s="948"/>
      <c r="BT211" s="948"/>
      <c r="BU211" s="948"/>
      <c r="BV211" s="948"/>
      <c r="BW211" s="948"/>
      <c r="BX211" s="948"/>
      <c r="BY211" s="948"/>
      <c r="BZ211" s="948"/>
    </row>
    <row r="212" spans="39:78" s="165" customFormat="1">
      <c r="AM212" s="948"/>
      <c r="AN212" s="948"/>
      <c r="AO212" s="948"/>
      <c r="AP212" s="948"/>
      <c r="AQ212" s="948"/>
      <c r="AR212" s="948"/>
      <c r="AS212" s="948"/>
      <c r="AT212" s="948"/>
      <c r="AU212" s="948"/>
      <c r="AV212" s="948"/>
      <c r="AW212" s="948"/>
      <c r="AX212" s="948"/>
      <c r="AY212" s="948"/>
      <c r="AZ212" s="948"/>
      <c r="BA212" s="948"/>
      <c r="BB212" s="948"/>
      <c r="BC212" s="948"/>
      <c r="BD212" s="948"/>
      <c r="BE212" s="948"/>
      <c r="BF212" s="948"/>
      <c r="BG212" s="948"/>
      <c r="BH212" s="948"/>
      <c r="BI212" s="948"/>
      <c r="BJ212" s="948"/>
      <c r="BK212" s="948"/>
      <c r="BL212" s="948"/>
      <c r="BM212" s="948"/>
      <c r="BN212" s="948"/>
      <c r="BO212" s="948"/>
      <c r="BP212" s="948"/>
      <c r="BQ212" s="948"/>
      <c r="BR212" s="948"/>
      <c r="BS212" s="948"/>
      <c r="BT212" s="948"/>
      <c r="BU212" s="948"/>
      <c r="BV212" s="948"/>
      <c r="BW212" s="948"/>
      <c r="BX212" s="948"/>
      <c r="BY212" s="948"/>
      <c r="BZ212" s="948"/>
    </row>
    <row r="213" spans="39:78" s="165" customFormat="1">
      <c r="AM213" s="948"/>
      <c r="AN213" s="948"/>
      <c r="AO213" s="948"/>
      <c r="AP213" s="948"/>
      <c r="AQ213" s="948"/>
      <c r="AR213" s="948"/>
      <c r="AS213" s="948"/>
      <c r="AT213" s="948"/>
      <c r="AU213" s="948"/>
      <c r="AV213" s="948"/>
      <c r="AW213" s="948"/>
      <c r="AX213" s="948"/>
      <c r="AY213" s="948"/>
      <c r="AZ213" s="948"/>
      <c r="BA213" s="948"/>
      <c r="BB213" s="948"/>
      <c r="BC213" s="948"/>
      <c r="BD213" s="948"/>
      <c r="BE213" s="948"/>
      <c r="BF213" s="948"/>
      <c r="BG213" s="948"/>
      <c r="BH213" s="948"/>
      <c r="BI213" s="948"/>
      <c r="BJ213" s="948"/>
      <c r="BK213" s="948"/>
      <c r="BL213" s="948"/>
      <c r="BM213" s="948"/>
      <c r="BN213" s="948"/>
      <c r="BO213" s="948"/>
      <c r="BP213" s="948"/>
      <c r="BQ213" s="948"/>
      <c r="BR213" s="948"/>
      <c r="BS213" s="948"/>
      <c r="BT213" s="948"/>
      <c r="BU213" s="948"/>
      <c r="BV213" s="948"/>
      <c r="BW213" s="948"/>
      <c r="BX213" s="948"/>
      <c r="BY213" s="948"/>
      <c r="BZ213" s="948"/>
    </row>
    <row r="214" spans="39:78" s="165" customFormat="1">
      <c r="AM214" s="948"/>
      <c r="AN214" s="948"/>
      <c r="AO214" s="948"/>
      <c r="AP214" s="948"/>
      <c r="AQ214" s="948"/>
      <c r="AR214" s="948"/>
      <c r="AS214" s="948"/>
      <c r="AT214" s="948"/>
      <c r="AU214" s="948"/>
      <c r="AV214" s="948"/>
      <c r="AW214" s="948"/>
      <c r="AX214" s="948"/>
      <c r="AY214" s="948"/>
      <c r="AZ214" s="948"/>
      <c r="BA214" s="948"/>
      <c r="BB214" s="948"/>
      <c r="BC214" s="948"/>
      <c r="BD214" s="948"/>
      <c r="BE214" s="948"/>
      <c r="BF214" s="948"/>
      <c r="BG214" s="948"/>
      <c r="BH214" s="948"/>
      <c r="BI214" s="948"/>
      <c r="BJ214" s="948"/>
      <c r="BK214" s="948"/>
      <c r="BL214" s="948"/>
      <c r="BM214" s="948"/>
      <c r="BN214" s="948"/>
      <c r="BO214" s="948"/>
      <c r="BP214" s="948"/>
      <c r="BQ214" s="948"/>
      <c r="BR214" s="948"/>
      <c r="BS214" s="948"/>
      <c r="BT214" s="948"/>
      <c r="BU214" s="948"/>
      <c r="BV214" s="948"/>
      <c r="BW214" s="948"/>
      <c r="BX214" s="948"/>
      <c r="BY214" s="948"/>
      <c r="BZ214" s="948"/>
    </row>
    <row r="215" spans="39:78" s="165" customFormat="1">
      <c r="AM215" s="948"/>
      <c r="AN215" s="948"/>
      <c r="AO215" s="948"/>
      <c r="AP215" s="948"/>
      <c r="AQ215" s="948"/>
      <c r="AR215" s="948"/>
      <c r="AS215" s="948"/>
      <c r="AT215" s="948"/>
      <c r="AU215" s="948"/>
      <c r="AV215" s="948"/>
      <c r="AW215" s="948"/>
      <c r="AX215" s="948"/>
      <c r="AY215" s="948"/>
      <c r="AZ215" s="948"/>
      <c r="BA215" s="948"/>
      <c r="BB215" s="948"/>
      <c r="BC215" s="948"/>
      <c r="BD215" s="948"/>
      <c r="BE215" s="948"/>
      <c r="BF215" s="948"/>
      <c r="BG215" s="948"/>
      <c r="BH215" s="948"/>
      <c r="BI215" s="948"/>
      <c r="BJ215" s="948"/>
      <c r="BK215" s="948"/>
      <c r="BL215" s="948"/>
      <c r="BM215" s="948"/>
      <c r="BN215" s="948"/>
      <c r="BO215" s="948"/>
      <c r="BP215" s="948"/>
      <c r="BQ215" s="948"/>
      <c r="BR215" s="948"/>
      <c r="BS215" s="948"/>
      <c r="BT215" s="948"/>
      <c r="BU215" s="948"/>
      <c r="BV215" s="948"/>
      <c r="BW215" s="948"/>
      <c r="BX215" s="948"/>
      <c r="BY215" s="948"/>
      <c r="BZ215" s="948"/>
    </row>
    <row r="216" spans="39:78" s="165" customFormat="1">
      <c r="AM216" s="948"/>
      <c r="AN216" s="948"/>
      <c r="AO216" s="948"/>
      <c r="AP216" s="948"/>
      <c r="AQ216" s="948"/>
      <c r="AR216" s="948"/>
      <c r="AS216" s="948"/>
      <c r="AT216" s="948"/>
      <c r="AU216" s="948"/>
      <c r="AV216" s="948"/>
      <c r="AW216" s="948"/>
      <c r="AX216" s="948"/>
      <c r="AY216" s="948"/>
      <c r="AZ216" s="948"/>
      <c r="BA216" s="948"/>
      <c r="BB216" s="948"/>
      <c r="BC216" s="948"/>
      <c r="BD216" s="948"/>
      <c r="BE216" s="948"/>
      <c r="BF216" s="948"/>
      <c r="BG216" s="948"/>
      <c r="BH216" s="948"/>
      <c r="BI216" s="948"/>
      <c r="BJ216" s="948"/>
      <c r="BK216" s="948"/>
      <c r="BL216" s="948"/>
      <c r="BM216" s="948"/>
      <c r="BN216" s="948"/>
      <c r="BO216" s="948"/>
      <c r="BP216" s="948"/>
      <c r="BQ216" s="948"/>
      <c r="BR216" s="948"/>
      <c r="BS216" s="948"/>
      <c r="BT216" s="948"/>
      <c r="BU216" s="948"/>
      <c r="BV216" s="948"/>
      <c r="BW216" s="948"/>
      <c r="BX216" s="948"/>
      <c r="BY216" s="948"/>
      <c r="BZ216" s="948"/>
    </row>
    <row r="217" spans="39:78" s="165" customFormat="1">
      <c r="AM217" s="948"/>
      <c r="AN217" s="948"/>
      <c r="AO217" s="948"/>
      <c r="AP217" s="948"/>
      <c r="AQ217" s="948"/>
      <c r="AR217" s="948"/>
      <c r="AS217" s="948"/>
      <c r="AT217" s="948"/>
      <c r="AU217" s="948"/>
      <c r="AV217" s="948"/>
      <c r="AW217" s="948"/>
      <c r="AX217" s="948"/>
      <c r="AY217" s="948"/>
      <c r="AZ217" s="948"/>
      <c r="BA217" s="948"/>
      <c r="BB217" s="948"/>
      <c r="BC217" s="948"/>
      <c r="BD217" s="948"/>
      <c r="BE217" s="948"/>
      <c r="BF217" s="948"/>
      <c r="BG217" s="948"/>
      <c r="BH217" s="948"/>
      <c r="BI217" s="948"/>
      <c r="BJ217" s="948"/>
      <c r="BK217" s="948"/>
      <c r="BL217" s="948"/>
      <c r="BM217" s="948"/>
      <c r="BN217" s="948"/>
      <c r="BO217" s="948"/>
      <c r="BP217" s="948"/>
      <c r="BQ217" s="948"/>
      <c r="BR217" s="948"/>
      <c r="BS217" s="948"/>
      <c r="BT217" s="948"/>
      <c r="BU217" s="948"/>
      <c r="BV217" s="948"/>
      <c r="BW217" s="948"/>
      <c r="BX217" s="948"/>
      <c r="BY217" s="948"/>
      <c r="BZ217" s="948"/>
    </row>
    <row r="218" spans="39:78" s="165" customFormat="1">
      <c r="AM218" s="948"/>
      <c r="AN218" s="948"/>
      <c r="AO218" s="948"/>
      <c r="AP218" s="948"/>
      <c r="AQ218" s="948"/>
      <c r="AR218" s="948"/>
      <c r="AS218" s="948"/>
      <c r="AT218" s="948"/>
      <c r="AU218" s="948"/>
      <c r="AV218" s="948"/>
      <c r="AW218" s="948"/>
      <c r="AX218" s="948"/>
      <c r="AY218" s="948"/>
      <c r="AZ218" s="948"/>
      <c r="BA218" s="948"/>
      <c r="BB218" s="948"/>
      <c r="BC218" s="948"/>
      <c r="BD218" s="948"/>
      <c r="BE218" s="948"/>
      <c r="BF218" s="948"/>
      <c r="BG218" s="948"/>
      <c r="BH218" s="948"/>
      <c r="BI218" s="948"/>
      <c r="BJ218" s="948"/>
      <c r="BK218" s="948"/>
      <c r="BL218" s="948"/>
      <c r="BM218" s="948"/>
      <c r="BN218" s="948"/>
      <c r="BO218" s="948"/>
      <c r="BP218" s="948"/>
      <c r="BQ218" s="948"/>
      <c r="BR218" s="948"/>
      <c r="BS218" s="948"/>
      <c r="BT218" s="948"/>
      <c r="BU218" s="948"/>
      <c r="BV218" s="948"/>
      <c r="BW218" s="948"/>
      <c r="BX218" s="948"/>
      <c r="BY218" s="948"/>
      <c r="BZ218" s="948"/>
    </row>
    <row r="219" spans="39:78" s="165" customFormat="1">
      <c r="AM219" s="948"/>
      <c r="AN219" s="948"/>
      <c r="AO219" s="948"/>
      <c r="AP219" s="948"/>
      <c r="AQ219" s="948"/>
      <c r="AR219" s="948"/>
      <c r="AS219" s="948"/>
      <c r="AT219" s="948"/>
      <c r="AU219" s="948"/>
      <c r="AV219" s="948"/>
      <c r="AW219" s="948"/>
      <c r="AX219" s="948"/>
      <c r="AY219" s="948"/>
      <c r="AZ219" s="948"/>
      <c r="BA219" s="948"/>
      <c r="BB219" s="948"/>
      <c r="BC219" s="948"/>
      <c r="BD219" s="948"/>
      <c r="BE219" s="948"/>
      <c r="BF219" s="948"/>
      <c r="BG219" s="948"/>
      <c r="BH219" s="948"/>
      <c r="BI219" s="948"/>
      <c r="BJ219" s="948"/>
      <c r="BK219" s="948"/>
      <c r="BL219" s="948"/>
      <c r="BM219" s="948"/>
      <c r="BN219" s="948"/>
      <c r="BO219" s="948"/>
      <c r="BP219" s="948"/>
      <c r="BQ219" s="948"/>
      <c r="BR219" s="948"/>
      <c r="BS219" s="948"/>
      <c r="BT219" s="948"/>
      <c r="BU219" s="948"/>
      <c r="BV219" s="948"/>
      <c r="BW219" s="948"/>
      <c r="BX219" s="948"/>
      <c r="BY219" s="948"/>
      <c r="BZ219" s="948"/>
    </row>
    <row r="220" spans="39:78" s="165" customFormat="1">
      <c r="AM220" s="948"/>
      <c r="AN220" s="948"/>
      <c r="AO220" s="948"/>
      <c r="AP220" s="948"/>
      <c r="AQ220" s="948"/>
      <c r="AR220" s="948"/>
      <c r="AS220" s="948"/>
      <c r="AT220" s="948"/>
      <c r="AU220" s="948"/>
      <c r="AV220" s="948"/>
      <c r="AW220" s="948"/>
      <c r="AX220" s="948"/>
      <c r="AY220" s="948"/>
      <c r="AZ220" s="948"/>
      <c r="BA220" s="948"/>
      <c r="BB220" s="948"/>
      <c r="BC220" s="948"/>
      <c r="BD220" s="948"/>
      <c r="BE220" s="948"/>
      <c r="BF220" s="948"/>
      <c r="BG220" s="948"/>
      <c r="BH220" s="948"/>
      <c r="BI220" s="948"/>
      <c r="BJ220" s="948"/>
      <c r="BK220" s="948"/>
      <c r="BL220" s="948"/>
      <c r="BM220" s="948"/>
      <c r="BN220" s="948"/>
      <c r="BO220" s="948"/>
      <c r="BP220" s="948"/>
      <c r="BQ220" s="948"/>
      <c r="BR220" s="948"/>
      <c r="BS220" s="948"/>
      <c r="BT220" s="948"/>
      <c r="BU220" s="948"/>
      <c r="BV220" s="948"/>
      <c r="BW220" s="948"/>
      <c r="BX220" s="948"/>
      <c r="BY220" s="948"/>
      <c r="BZ220" s="948"/>
    </row>
    <row r="221" spans="39:78" s="165" customFormat="1">
      <c r="AM221" s="948"/>
      <c r="AN221" s="948"/>
      <c r="AO221" s="948"/>
      <c r="AP221" s="948"/>
      <c r="AQ221" s="948"/>
      <c r="AR221" s="948"/>
      <c r="AS221" s="948"/>
      <c r="AT221" s="948"/>
      <c r="AU221" s="948"/>
      <c r="AV221" s="948"/>
      <c r="AW221" s="948"/>
      <c r="AX221" s="948"/>
      <c r="AY221" s="948"/>
      <c r="AZ221" s="948"/>
      <c r="BA221" s="948"/>
      <c r="BB221" s="948"/>
      <c r="BC221" s="948"/>
      <c r="BD221" s="948"/>
      <c r="BE221" s="948"/>
      <c r="BF221" s="948"/>
      <c r="BG221" s="948"/>
      <c r="BH221" s="948"/>
      <c r="BI221" s="948"/>
      <c r="BJ221" s="948"/>
      <c r="BK221" s="948"/>
      <c r="BL221" s="948"/>
      <c r="BM221" s="948"/>
      <c r="BN221" s="948"/>
      <c r="BO221" s="948"/>
      <c r="BP221" s="948"/>
      <c r="BQ221" s="948"/>
      <c r="BR221" s="948"/>
      <c r="BS221" s="948"/>
      <c r="BT221" s="948"/>
      <c r="BU221" s="948"/>
      <c r="BV221" s="948"/>
      <c r="BW221" s="948"/>
      <c r="BX221" s="948"/>
      <c r="BY221" s="948"/>
      <c r="BZ221" s="948"/>
    </row>
    <row r="222" spans="39:78" s="165" customFormat="1">
      <c r="AM222" s="948"/>
      <c r="AN222" s="948"/>
      <c r="AO222" s="948"/>
      <c r="AP222" s="948"/>
      <c r="AQ222" s="948"/>
      <c r="AR222" s="948"/>
      <c r="AS222" s="948"/>
      <c r="AT222" s="948"/>
      <c r="AU222" s="948"/>
      <c r="AV222" s="948"/>
      <c r="AW222" s="948"/>
      <c r="AX222" s="948"/>
      <c r="AY222" s="948"/>
      <c r="AZ222" s="948"/>
      <c r="BA222" s="948"/>
      <c r="BB222" s="948"/>
      <c r="BC222" s="948"/>
      <c r="BD222" s="948"/>
      <c r="BE222" s="948"/>
      <c r="BF222" s="948"/>
      <c r="BG222" s="948"/>
      <c r="BH222" s="948"/>
      <c r="BI222" s="948"/>
      <c r="BJ222" s="948"/>
      <c r="BK222" s="948"/>
      <c r="BL222" s="948"/>
      <c r="BM222" s="948"/>
      <c r="BN222" s="948"/>
      <c r="BO222" s="948"/>
      <c r="BP222" s="948"/>
      <c r="BQ222" s="948"/>
      <c r="BR222" s="948"/>
      <c r="BS222" s="948"/>
      <c r="BT222" s="948"/>
      <c r="BU222" s="948"/>
      <c r="BV222" s="948"/>
      <c r="BW222" s="948"/>
      <c r="BX222" s="948"/>
      <c r="BY222" s="948"/>
      <c r="BZ222" s="948"/>
    </row>
    <row r="223" spans="39:78" s="165" customFormat="1">
      <c r="AM223" s="948"/>
      <c r="AN223" s="948"/>
      <c r="AO223" s="948"/>
      <c r="AP223" s="948"/>
      <c r="AQ223" s="948"/>
      <c r="AR223" s="948"/>
      <c r="AS223" s="948"/>
      <c r="AT223" s="948"/>
      <c r="AU223" s="948"/>
      <c r="AV223" s="948"/>
      <c r="AW223" s="948"/>
      <c r="AX223" s="948"/>
      <c r="AY223" s="948"/>
      <c r="AZ223" s="948"/>
      <c r="BA223" s="948"/>
      <c r="BB223" s="948"/>
      <c r="BC223" s="948"/>
      <c r="BD223" s="948"/>
      <c r="BE223" s="948"/>
      <c r="BF223" s="948"/>
      <c r="BG223" s="948"/>
      <c r="BH223" s="948"/>
      <c r="BI223" s="948"/>
      <c r="BJ223" s="948"/>
      <c r="BK223" s="948"/>
      <c r="BL223" s="948"/>
      <c r="BM223" s="948"/>
      <c r="BN223" s="948"/>
      <c r="BO223" s="948"/>
      <c r="BP223" s="948"/>
      <c r="BQ223" s="948"/>
      <c r="BR223" s="948"/>
      <c r="BS223" s="948"/>
      <c r="BT223" s="948"/>
      <c r="BU223" s="948"/>
      <c r="BV223" s="948"/>
      <c r="BW223" s="948"/>
      <c r="BX223" s="948"/>
      <c r="BY223" s="948"/>
      <c r="BZ223" s="948"/>
    </row>
    <row r="224" spans="39:78" s="165" customFormat="1">
      <c r="AM224" s="948"/>
      <c r="AN224" s="948"/>
      <c r="AO224" s="948"/>
      <c r="AP224" s="948"/>
      <c r="AQ224" s="948"/>
      <c r="AR224" s="948"/>
      <c r="AS224" s="948"/>
      <c r="AT224" s="948"/>
      <c r="AU224" s="948"/>
      <c r="AV224" s="948"/>
      <c r="AW224" s="948"/>
      <c r="AX224" s="948"/>
      <c r="AY224" s="948"/>
      <c r="AZ224" s="948"/>
      <c r="BA224" s="948"/>
      <c r="BB224" s="948"/>
      <c r="BC224" s="948"/>
      <c r="BD224" s="948"/>
      <c r="BE224" s="948"/>
      <c r="BF224" s="948"/>
      <c r="BG224" s="948"/>
      <c r="BH224" s="948"/>
      <c r="BI224" s="948"/>
      <c r="BJ224" s="948"/>
      <c r="BK224" s="948"/>
      <c r="BL224" s="948"/>
      <c r="BM224" s="948"/>
      <c r="BN224" s="948"/>
      <c r="BO224" s="948"/>
      <c r="BP224" s="948"/>
      <c r="BQ224" s="948"/>
      <c r="BR224" s="948"/>
      <c r="BS224" s="948"/>
      <c r="BT224" s="948"/>
      <c r="BU224" s="948"/>
      <c r="BV224" s="948"/>
      <c r="BW224" s="948"/>
      <c r="BX224" s="948"/>
      <c r="BY224" s="948"/>
      <c r="BZ224" s="948"/>
    </row>
    <row r="225" spans="39:78" s="165" customFormat="1">
      <c r="AM225" s="948"/>
      <c r="AN225" s="948"/>
      <c r="AO225" s="948"/>
      <c r="AP225" s="948"/>
      <c r="AQ225" s="948"/>
      <c r="AR225" s="948"/>
      <c r="AS225" s="948"/>
      <c r="AT225" s="948"/>
      <c r="AU225" s="948"/>
      <c r="AV225" s="948"/>
      <c r="AW225" s="948"/>
      <c r="AX225" s="948"/>
      <c r="AY225" s="948"/>
      <c r="AZ225" s="948"/>
      <c r="BA225" s="948"/>
      <c r="BB225" s="948"/>
      <c r="BC225" s="948"/>
      <c r="BD225" s="948"/>
      <c r="BE225" s="948"/>
      <c r="BF225" s="948"/>
      <c r="BG225" s="948"/>
      <c r="BH225" s="948"/>
      <c r="BI225" s="948"/>
      <c r="BJ225" s="948"/>
      <c r="BK225" s="948"/>
      <c r="BL225" s="948"/>
      <c r="BM225" s="948"/>
      <c r="BN225" s="948"/>
      <c r="BO225" s="948"/>
      <c r="BP225" s="948"/>
      <c r="BQ225" s="948"/>
      <c r="BR225" s="948"/>
      <c r="BS225" s="948"/>
      <c r="BT225" s="948"/>
      <c r="BU225" s="948"/>
      <c r="BV225" s="948"/>
      <c r="BW225" s="948"/>
      <c r="BX225" s="948"/>
      <c r="BY225" s="948"/>
      <c r="BZ225" s="948"/>
    </row>
    <row r="226" spans="39:78" s="165" customFormat="1">
      <c r="AM226" s="948"/>
      <c r="AN226" s="948"/>
      <c r="AO226" s="948"/>
      <c r="AP226" s="948"/>
      <c r="AQ226" s="948"/>
      <c r="AR226" s="948"/>
      <c r="AS226" s="948"/>
      <c r="AT226" s="948"/>
      <c r="AU226" s="948"/>
      <c r="AV226" s="948"/>
      <c r="AW226" s="948"/>
      <c r="AX226" s="948"/>
      <c r="AY226" s="948"/>
      <c r="AZ226" s="948"/>
      <c r="BA226" s="948"/>
      <c r="BB226" s="948"/>
      <c r="BC226" s="948"/>
      <c r="BD226" s="948"/>
      <c r="BE226" s="948"/>
      <c r="BF226" s="948"/>
      <c r="BG226" s="948"/>
      <c r="BH226" s="948"/>
      <c r="BI226" s="948"/>
      <c r="BJ226" s="948"/>
      <c r="BK226" s="948"/>
      <c r="BL226" s="948"/>
      <c r="BM226" s="948"/>
      <c r="BN226" s="948"/>
      <c r="BO226" s="948"/>
      <c r="BP226" s="948"/>
      <c r="BQ226" s="948"/>
      <c r="BR226" s="948"/>
      <c r="BS226" s="948"/>
      <c r="BT226" s="948"/>
      <c r="BU226" s="948"/>
      <c r="BV226" s="948"/>
      <c r="BW226" s="948"/>
      <c r="BX226" s="948"/>
      <c r="BY226" s="948"/>
      <c r="BZ226" s="948"/>
    </row>
    <row r="227" spans="39:78" s="165" customFormat="1">
      <c r="AM227" s="948"/>
      <c r="AN227" s="948"/>
      <c r="AO227" s="948"/>
      <c r="AP227" s="948"/>
      <c r="AQ227" s="948"/>
      <c r="AR227" s="948"/>
      <c r="AS227" s="948"/>
      <c r="AT227" s="948"/>
      <c r="AU227" s="948"/>
      <c r="AV227" s="948"/>
      <c r="AW227" s="948"/>
      <c r="AX227" s="948"/>
      <c r="AY227" s="948"/>
      <c r="AZ227" s="948"/>
      <c r="BA227" s="948"/>
      <c r="BB227" s="948"/>
      <c r="BC227" s="948"/>
      <c r="BD227" s="948"/>
      <c r="BE227" s="948"/>
      <c r="BF227" s="948"/>
      <c r="BG227" s="948"/>
      <c r="BH227" s="948"/>
      <c r="BI227" s="948"/>
      <c r="BJ227" s="948"/>
      <c r="BK227" s="948"/>
      <c r="BL227" s="948"/>
      <c r="BM227" s="948"/>
      <c r="BN227" s="948"/>
      <c r="BO227" s="948"/>
      <c r="BP227" s="948"/>
      <c r="BQ227" s="948"/>
      <c r="BR227" s="948"/>
      <c r="BS227" s="948"/>
      <c r="BT227" s="948"/>
      <c r="BU227" s="948"/>
      <c r="BV227" s="948"/>
      <c r="BW227" s="948"/>
      <c r="BX227" s="948"/>
      <c r="BY227" s="948"/>
      <c r="BZ227" s="948"/>
    </row>
    <row r="228" spans="39:78" s="165" customFormat="1">
      <c r="AM228" s="948"/>
      <c r="AN228" s="948"/>
      <c r="AO228" s="948"/>
      <c r="AP228" s="948"/>
      <c r="AQ228" s="948"/>
      <c r="AR228" s="948"/>
      <c r="AS228" s="948"/>
      <c r="AT228" s="948"/>
      <c r="AU228" s="948"/>
      <c r="AV228" s="948"/>
      <c r="AW228" s="948"/>
      <c r="AX228" s="948"/>
      <c r="AY228" s="948"/>
      <c r="AZ228" s="948"/>
      <c r="BA228" s="948"/>
      <c r="BB228" s="948"/>
      <c r="BC228" s="948"/>
      <c r="BD228" s="948"/>
      <c r="BE228" s="948"/>
      <c r="BF228" s="948"/>
      <c r="BG228" s="948"/>
      <c r="BH228" s="948"/>
      <c r="BI228" s="948"/>
      <c r="BJ228" s="948"/>
      <c r="BK228" s="948"/>
      <c r="BL228" s="948"/>
      <c r="BM228" s="948"/>
      <c r="BN228" s="948"/>
      <c r="BO228" s="948"/>
      <c r="BP228" s="948"/>
      <c r="BQ228" s="948"/>
      <c r="BR228" s="948"/>
      <c r="BS228" s="948"/>
      <c r="BT228" s="948"/>
      <c r="BU228" s="948"/>
      <c r="BV228" s="948"/>
      <c r="BW228" s="948"/>
      <c r="BX228" s="948"/>
      <c r="BY228" s="948"/>
      <c r="BZ228" s="948"/>
    </row>
    <row r="229" spans="39:78" s="165" customFormat="1">
      <c r="AM229" s="945"/>
      <c r="AN229" s="945"/>
      <c r="AO229" s="945"/>
      <c r="AP229" s="945"/>
      <c r="AQ229" s="945"/>
      <c r="AR229" s="945"/>
      <c r="AS229" s="945"/>
      <c r="AT229" s="945"/>
      <c r="AU229" s="945"/>
      <c r="AV229" s="945"/>
      <c r="AW229" s="945"/>
      <c r="AX229" s="945"/>
      <c r="AY229" s="945"/>
      <c r="AZ229" s="945"/>
      <c r="BA229" s="945"/>
      <c r="BB229" s="945"/>
      <c r="BC229" s="945"/>
      <c r="BD229" s="945"/>
      <c r="BE229" s="945"/>
      <c r="BF229" s="945"/>
      <c r="BG229" s="945"/>
      <c r="BH229" s="945"/>
      <c r="BI229" s="945"/>
      <c r="BJ229" s="945"/>
      <c r="BK229" s="945"/>
      <c r="BL229" s="945"/>
      <c r="BM229" s="945"/>
      <c r="BN229" s="945"/>
      <c r="BO229" s="945"/>
      <c r="BP229" s="945"/>
      <c r="BQ229" s="945"/>
      <c r="BR229" s="945"/>
      <c r="BS229" s="945"/>
      <c r="BT229" s="945"/>
      <c r="BU229" s="945"/>
      <c r="BV229" s="945"/>
      <c r="BW229" s="945"/>
      <c r="BX229" s="945"/>
      <c r="BY229" s="945"/>
      <c r="BZ229" s="945"/>
    </row>
    <row r="230" spans="39:78" s="165" customFormat="1">
      <c r="AM230" s="945"/>
      <c r="AN230" s="945"/>
      <c r="AO230" s="945"/>
      <c r="AP230" s="945"/>
      <c r="AQ230" s="945"/>
      <c r="AR230" s="945"/>
      <c r="AS230" s="945"/>
      <c r="AT230" s="945"/>
      <c r="AU230" s="945"/>
      <c r="AV230" s="945"/>
      <c r="AW230" s="945"/>
      <c r="AX230" s="945"/>
      <c r="AY230" s="945"/>
      <c r="AZ230" s="945"/>
      <c r="BA230" s="945"/>
      <c r="BB230" s="945"/>
      <c r="BC230" s="945"/>
      <c r="BD230" s="945"/>
      <c r="BE230" s="945"/>
      <c r="BF230" s="945"/>
      <c r="BG230" s="945"/>
      <c r="BH230" s="945"/>
      <c r="BI230" s="945"/>
      <c r="BJ230" s="945"/>
      <c r="BK230" s="945"/>
      <c r="BL230" s="945"/>
      <c r="BM230" s="945"/>
      <c r="BN230" s="945"/>
      <c r="BO230" s="945"/>
      <c r="BP230" s="945"/>
      <c r="BQ230" s="945"/>
      <c r="BR230" s="945"/>
      <c r="BS230" s="945"/>
      <c r="BT230" s="945"/>
      <c r="BU230" s="945"/>
      <c r="BV230" s="945"/>
      <c r="BW230" s="945"/>
      <c r="BX230" s="945"/>
      <c r="BY230" s="945"/>
      <c r="BZ230" s="945"/>
    </row>
    <row r="231" spans="39:78" s="165" customFormat="1">
      <c r="AM231" s="945"/>
      <c r="AN231" s="945"/>
      <c r="AO231" s="945"/>
      <c r="AP231" s="945"/>
      <c r="AQ231" s="945"/>
      <c r="AR231" s="945"/>
      <c r="AS231" s="945"/>
      <c r="AT231" s="945"/>
      <c r="AU231" s="945"/>
      <c r="AV231" s="945"/>
      <c r="AW231" s="945"/>
      <c r="AX231" s="945"/>
      <c r="AY231" s="945"/>
      <c r="AZ231" s="945"/>
      <c r="BA231" s="945"/>
      <c r="BB231" s="945"/>
      <c r="BC231" s="945"/>
      <c r="BD231" s="945"/>
      <c r="BE231" s="945"/>
      <c r="BF231" s="945"/>
      <c r="BG231" s="945"/>
      <c r="BH231" s="945"/>
      <c r="BI231" s="945"/>
      <c r="BJ231" s="945"/>
      <c r="BK231" s="945"/>
      <c r="BL231" s="945"/>
      <c r="BM231" s="945"/>
      <c r="BN231" s="945"/>
      <c r="BO231" s="945"/>
      <c r="BP231" s="945"/>
      <c r="BQ231" s="945"/>
      <c r="BR231" s="945"/>
      <c r="BS231" s="945"/>
      <c r="BT231" s="945"/>
      <c r="BU231" s="945"/>
      <c r="BV231" s="945"/>
      <c r="BW231" s="945"/>
      <c r="BX231" s="945"/>
      <c r="BY231" s="945"/>
      <c r="BZ231" s="945"/>
    </row>
    <row r="232" spans="39:78" s="165" customFormat="1">
      <c r="AM232" s="945"/>
      <c r="AN232" s="945"/>
      <c r="AO232" s="945"/>
      <c r="AP232" s="945"/>
      <c r="AQ232" s="945"/>
      <c r="AR232" s="945"/>
      <c r="AS232" s="945"/>
      <c r="AT232" s="945"/>
      <c r="AU232" s="945"/>
      <c r="AV232" s="945"/>
      <c r="AW232" s="945"/>
      <c r="AX232" s="945"/>
      <c r="AY232" s="945"/>
      <c r="AZ232" s="945"/>
      <c r="BA232" s="945"/>
      <c r="BB232" s="945"/>
      <c r="BC232" s="945"/>
      <c r="BD232" s="945"/>
      <c r="BE232" s="945"/>
      <c r="BF232" s="945"/>
      <c r="BG232" s="945"/>
      <c r="BH232" s="945"/>
      <c r="BI232" s="945"/>
      <c r="BJ232" s="945"/>
      <c r="BK232" s="945"/>
      <c r="BL232" s="945"/>
      <c r="BM232" s="945"/>
      <c r="BN232" s="945"/>
      <c r="BO232" s="945"/>
      <c r="BP232" s="945"/>
      <c r="BQ232" s="945"/>
      <c r="BR232" s="945"/>
      <c r="BS232" s="945"/>
      <c r="BT232" s="945"/>
      <c r="BU232" s="945"/>
      <c r="BV232" s="945"/>
      <c r="BW232" s="945"/>
      <c r="BX232" s="945"/>
      <c r="BY232" s="945"/>
      <c r="BZ232" s="945"/>
    </row>
    <row r="233" spans="39:78" s="165" customFormat="1">
      <c r="AM233" s="945"/>
      <c r="AN233" s="945"/>
      <c r="AO233" s="945"/>
      <c r="AP233" s="945"/>
      <c r="AQ233" s="945"/>
      <c r="AR233" s="945"/>
      <c r="AS233" s="945"/>
      <c r="AT233" s="945"/>
      <c r="AU233" s="945"/>
      <c r="AV233" s="945"/>
      <c r="AW233" s="945"/>
      <c r="AX233" s="945"/>
      <c r="AY233" s="945"/>
      <c r="AZ233" s="945"/>
      <c r="BA233" s="945"/>
      <c r="BB233" s="945"/>
      <c r="BC233" s="945"/>
      <c r="BD233" s="945"/>
      <c r="BE233" s="945"/>
      <c r="BF233" s="945"/>
      <c r="BG233" s="945"/>
      <c r="BH233" s="945"/>
      <c r="BI233" s="945"/>
      <c r="BJ233" s="945"/>
      <c r="BK233" s="945"/>
      <c r="BL233" s="945"/>
      <c r="BM233" s="945"/>
      <c r="BN233" s="945"/>
      <c r="BO233" s="945"/>
      <c r="BP233" s="945"/>
      <c r="BQ233" s="945"/>
      <c r="BR233" s="945"/>
      <c r="BS233" s="945"/>
      <c r="BT233" s="945"/>
      <c r="BU233" s="945"/>
      <c r="BV233" s="945"/>
      <c r="BW233" s="945"/>
      <c r="BX233" s="945"/>
      <c r="BY233" s="945"/>
      <c r="BZ233" s="945"/>
    </row>
    <row r="234" spans="39:78" s="165" customFormat="1">
      <c r="AM234" s="945"/>
      <c r="AN234" s="945"/>
      <c r="AO234" s="945"/>
      <c r="AP234" s="945"/>
      <c r="AQ234" s="945"/>
      <c r="AR234" s="945"/>
      <c r="AS234" s="945"/>
      <c r="AT234" s="945"/>
      <c r="AU234" s="945"/>
      <c r="AV234" s="945"/>
      <c r="AW234" s="945"/>
      <c r="AX234" s="945"/>
      <c r="AY234" s="945"/>
      <c r="AZ234" s="945"/>
      <c r="BA234" s="945"/>
      <c r="BB234" s="945"/>
      <c r="BC234" s="945"/>
      <c r="BD234" s="945"/>
      <c r="BE234" s="945"/>
      <c r="BF234" s="945"/>
      <c r="BG234" s="945"/>
      <c r="BH234" s="945"/>
      <c r="BI234" s="945"/>
      <c r="BJ234" s="945"/>
      <c r="BK234" s="945"/>
      <c r="BL234" s="945"/>
      <c r="BM234" s="945"/>
      <c r="BN234" s="945"/>
      <c r="BO234" s="945"/>
      <c r="BP234" s="945"/>
      <c r="BQ234" s="945"/>
      <c r="BR234" s="945"/>
      <c r="BS234" s="945"/>
      <c r="BT234" s="945"/>
      <c r="BU234" s="945"/>
      <c r="BV234" s="945"/>
      <c r="BW234" s="945"/>
      <c r="BX234" s="945"/>
      <c r="BY234" s="945"/>
      <c r="BZ234" s="945"/>
    </row>
    <row r="235" spans="39:78" s="165" customFormat="1">
      <c r="AM235" s="945"/>
      <c r="AN235" s="945"/>
      <c r="AO235" s="945"/>
      <c r="AP235" s="945"/>
      <c r="AQ235" s="945"/>
      <c r="AR235" s="945"/>
      <c r="AS235" s="945"/>
      <c r="AT235" s="945"/>
      <c r="AU235" s="945"/>
      <c r="AV235" s="945"/>
      <c r="AW235" s="945"/>
      <c r="AX235" s="945"/>
      <c r="AY235" s="945"/>
      <c r="AZ235" s="945"/>
      <c r="BA235" s="945"/>
      <c r="BB235" s="945"/>
      <c r="BC235" s="945"/>
      <c r="BD235" s="945"/>
      <c r="BE235" s="945"/>
      <c r="BF235" s="945"/>
      <c r="BG235" s="945"/>
      <c r="BH235" s="945"/>
      <c r="BI235" s="945"/>
      <c r="BJ235" s="945"/>
      <c r="BK235" s="945"/>
      <c r="BL235" s="945"/>
      <c r="BM235" s="945"/>
      <c r="BN235" s="945"/>
      <c r="BO235" s="945"/>
      <c r="BP235" s="945"/>
      <c r="BQ235" s="945"/>
      <c r="BR235" s="945"/>
      <c r="BS235" s="945"/>
      <c r="BT235" s="945"/>
      <c r="BU235" s="945"/>
      <c r="BV235" s="945"/>
      <c r="BW235" s="945"/>
      <c r="BX235" s="945"/>
      <c r="BY235" s="945"/>
      <c r="BZ235" s="945"/>
    </row>
    <row r="236" spans="39:78" s="165" customFormat="1">
      <c r="AM236" s="945"/>
      <c r="AN236" s="945"/>
      <c r="AO236" s="945"/>
      <c r="AP236" s="945"/>
      <c r="AQ236" s="945"/>
      <c r="AR236" s="945"/>
      <c r="AS236" s="945"/>
      <c r="AT236" s="945"/>
      <c r="AU236" s="945"/>
      <c r="AV236" s="945"/>
      <c r="AW236" s="945"/>
      <c r="AX236" s="945"/>
      <c r="AY236" s="945"/>
      <c r="AZ236" s="945"/>
      <c r="BA236" s="945"/>
      <c r="BB236" s="945"/>
      <c r="BC236" s="945"/>
      <c r="BD236" s="945"/>
      <c r="BE236" s="945"/>
      <c r="BF236" s="945"/>
      <c r="BG236" s="945"/>
      <c r="BH236" s="945"/>
      <c r="BI236" s="945"/>
      <c r="BJ236" s="945"/>
      <c r="BK236" s="945"/>
      <c r="BL236" s="945"/>
      <c r="BM236" s="945"/>
      <c r="BN236" s="945"/>
      <c r="BO236" s="945"/>
      <c r="BP236" s="945"/>
      <c r="BQ236" s="945"/>
      <c r="BR236" s="945"/>
      <c r="BS236" s="945"/>
      <c r="BT236" s="945"/>
      <c r="BU236" s="945"/>
      <c r="BV236" s="945"/>
      <c r="BW236" s="945"/>
      <c r="BX236" s="945"/>
      <c r="BY236" s="945"/>
      <c r="BZ236" s="945"/>
    </row>
    <row r="237" spans="39:78" s="165" customFormat="1">
      <c r="AM237" s="945"/>
      <c r="AN237" s="945"/>
      <c r="AO237" s="945"/>
      <c r="AP237" s="945"/>
      <c r="AQ237" s="945"/>
      <c r="AR237" s="945"/>
      <c r="AS237" s="945"/>
      <c r="AT237" s="945"/>
      <c r="AU237" s="945"/>
      <c r="AV237" s="945"/>
      <c r="AW237" s="945"/>
      <c r="AX237" s="945"/>
      <c r="AY237" s="945"/>
      <c r="AZ237" s="945"/>
      <c r="BA237" s="945"/>
      <c r="BB237" s="945"/>
      <c r="BC237" s="945"/>
      <c r="BD237" s="945"/>
      <c r="BE237" s="945"/>
      <c r="BF237" s="945"/>
      <c r="BG237" s="945"/>
      <c r="BH237" s="945"/>
      <c r="BI237" s="945"/>
      <c r="BJ237" s="945"/>
      <c r="BK237" s="945"/>
      <c r="BL237" s="945"/>
      <c r="BM237" s="945"/>
      <c r="BN237" s="945"/>
      <c r="BO237" s="945"/>
      <c r="BP237" s="945"/>
      <c r="BQ237" s="945"/>
      <c r="BR237" s="945"/>
      <c r="BS237" s="945"/>
      <c r="BT237" s="945"/>
      <c r="BU237" s="945"/>
      <c r="BV237" s="945"/>
      <c r="BW237" s="945"/>
      <c r="BX237" s="945"/>
      <c r="BY237" s="945"/>
      <c r="BZ237" s="945"/>
    </row>
    <row r="238" spans="39:78" s="165" customFormat="1">
      <c r="AM238" s="945"/>
      <c r="AN238" s="945"/>
      <c r="AO238" s="945"/>
      <c r="AP238" s="945"/>
      <c r="AQ238" s="945"/>
      <c r="AR238" s="945"/>
      <c r="AS238" s="945"/>
      <c r="AT238" s="945"/>
      <c r="AU238" s="945"/>
      <c r="AV238" s="945"/>
      <c r="AW238" s="945"/>
      <c r="AX238" s="945"/>
      <c r="AY238" s="945"/>
      <c r="AZ238" s="945"/>
      <c r="BA238" s="945"/>
      <c r="BB238" s="945"/>
      <c r="BC238" s="945"/>
      <c r="BD238" s="945"/>
      <c r="BE238" s="945"/>
      <c r="BF238" s="945"/>
      <c r="BG238" s="945"/>
      <c r="BH238" s="945"/>
      <c r="BI238" s="945"/>
      <c r="BJ238" s="945"/>
      <c r="BK238" s="945"/>
      <c r="BL238" s="945"/>
      <c r="BM238" s="945"/>
      <c r="BN238" s="945"/>
      <c r="BO238" s="945"/>
      <c r="BP238" s="945"/>
      <c r="BQ238" s="945"/>
      <c r="BR238" s="945"/>
      <c r="BS238" s="945"/>
      <c r="BT238" s="945"/>
      <c r="BU238" s="945"/>
      <c r="BV238" s="945"/>
      <c r="BW238" s="945"/>
      <c r="BX238" s="945"/>
      <c r="BY238" s="945"/>
      <c r="BZ238" s="945"/>
    </row>
    <row r="239" spans="39:78" s="165" customFormat="1">
      <c r="AM239" s="945"/>
      <c r="AN239" s="945"/>
      <c r="AO239" s="945"/>
      <c r="AP239" s="945"/>
      <c r="AQ239" s="945"/>
      <c r="AR239" s="945"/>
      <c r="AS239" s="945"/>
      <c r="AT239" s="945"/>
      <c r="AU239" s="945"/>
      <c r="AV239" s="945"/>
      <c r="AW239" s="945"/>
      <c r="AX239" s="945"/>
      <c r="AY239" s="945"/>
      <c r="AZ239" s="945"/>
      <c r="BA239" s="945"/>
      <c r="BB239" s="945"/>
      <c r="BC239" s="945"/>
      <c r="BD239" s="945"/>
      <c r="BE239" s="945"/>
      <c r="BF239" s="945"/>
      <c r="BG239" s="945"/>
      <c r="BH239" s="945"/>
      <c r="BI239" s="945"/>
      <c r="BJ239" s="945"/>
      <c r="BK239" s="945"/>
      <c r="BL239" s="945"/>
      <c r="BM239" s="945"/>
      <c r="BN239" s="945"/>
      <c r="BO239" s="945"/>
      <c r="BP239" s="945"/>
      <c r="BQ239" s="945"/>
      <c r="BR239" s="945"/>
      <c r="BS239" s="945"/>
      <c r="BT239" s="945"/>
      <c r="BU239" s="945"/>
      <c r="BV239" s="945"/>
      <c r="BW239" s="945"/>
      <c r="BX239" s="945"/>
      <c r="BY239" s="945"/>
      <c r="BZ239" s="945"/>
    </row>
    <row r="240" spans="39:78" s="165" customFormat="1">
      <c r="AM240" s="945"/>
      <c r="AN240" s="945"/>
      <c r="AO240" s="945"/>
      <c r="AP240" s="945"/>
      <c r="AQ240" s="945"/>
      <c r="AR240" s="945"/>
      <c r="AS240" s="945"/>
      <c r="AT240" s="945"/>
      <c r="AU240" s="945"/>
      <c r="AV240" s="945"/>
      <c r="AW240" s="945"/>
      <c r="AX240" s="945"/>
      <c r="AY240" s="945"/>
      <c r="AZ240" s="945"/>
      <c r="BA240" s="945"/>
      <c r="BB240" s="945"/>
      <c r="BC240" s="945"/>
      <c r="BD240" s="945"/>
      <c r="BE240" s="945"/>
      <c r="BF240" s="945"/>
      <c r="BG240" s="945"/>
      <c r="BH240" s="945"/>
      <c r="BI240" s="945"/>
      <c r="BJ240" s="945"/>
      <c r="BK240" s="945"/>
      <c r="BL240" s="945"/>
      <c r="BM240" s="945"/>
      <c r="BN240" s="945"/>
      <c r="BO240" s="945"/>
      <c r="BP240" s="945"/>
      <c r="BQ240" s="945"/>
      <c r="BR240" s="945"/>
      <c r="BS240" s="945"/>
      <c r="BT240" s="945"/>
      <c r="BU240" s="945"/>
      <c r="BV240" s="945"/>
      <c r="BW240" s="945"/>
      <c r="BX240" s="945"/>
      <c r="BY240" s="945"/>
      <c r="BZ240" s="945"/>
    </row>
    <row r="241" spans="39:78" s="165" customFormat="1">
      <c r="AM241" s="945"/>
      <c r="AN241" s="945"/>
      <c r="AO241" s="945"/>
      <c r="AP241" s="945"/>
      <c r="AQ241" s="945"/>
      <c r="AR241" s="945"/>
      <c r="AS241" s="945"/>
      <c r="AT241" s="945"/>
      <c r="AU241" s="945"/>
      <c r="AV241" s="945"/>
      <c r="AW241" s="945"/>
      <c r="AX241" s="945"/>
      <c r="AY241" s="945"/>
      <c r="AZ241" s="945"/>
      <c r="BA241" s="945"/>
      <c r="BB241" s="945"/>
      <c r="BC241" s="945"/>
      <c r="BD241" s="945"/>
      <c r="BE241" s="945"/>
      <c r="BF241" s="945"/>
      <c r="BG241" s="945"/>
      <c r="BH241" s="945"/>
      <c r="BI241" s="945"/>
      <c r="BJ241" s="945"/>
      <c r="BK241" s="945"/>
      <c r="BL241" s="945"/>
      <c r="BM241" s="945"/>
      <c r="BN241" s="945"/>
      <c r="BO241" s="945"/>
      <c r="BP241" s="945"/>
      <c r="BQ241" s="945"/>
      <c r="BR241" s="945"/>
      <c r="BS241" s="945"/>
      <c r="BT241" s="945"/>
      <c r="BU241" s="945"/>
      <c r="BV241" s="945"/>
      <c r="BW241" s="945"/>
      <c r="BX241" s="945"/>
      <c r="BY241" s="945"/>
      <c r="BZ241" s="945"/>
    </row>
    <row r="242" spans="39:78" s="165" customFormat="1">
      <c r="AM242" s="945"/>
      <c r="AN242" s="945"/>
      <c r="AO242" s="945"/>
      <c r="AP242" s="945"/>
      <c r="AQ242" s="945"/>
      <c r="AR242" s="945"/>
      <c r="AS242" s="945"/>
      <c r="AT242" s="945"/>
      <c r="AU242" s="945"/>
      <c r="AV242" s="945"/>
      <c r="AW242" s="945"/>
      <c r="AX242" s="945"/>
      <c r="AY242" s="945"/>
      <c r="AZ242" s="945"/>
      <c r="BA242" s="945"/>
      <c r="BB242" s="945"/>
      <c r="BC242" s="945"/>
      <c r="BD242" s="945"/>
      <c r="BE242" s="945"/>
      <c r="BF242" s="945"/>
      <c r="BG242" s="945"/>
      <c r="BH242" s="945"/>
      <c r="BI242" s="945"/>
      <c r="BJ242" s="945"/>
      <c r="BK242" s="945"/>
      <c r="BL242" s="945"/>
      <c r="BM242" s="945"/>
      <c r="BN242" s="945"/>
      <c r="BO242" s="945"/>
      <c r="BP242" s="945"/>
      <c r="BQ242" s="945"/>
      <c r="BR242" s="945"/>
      <c r="BS242" s="945"/>
      <c r="BT242" s="945"/>
      <c r="BU242" s="945"/>
      <c r="BV242" s="945"/>
      <c r="BW242" s="945"/>
      <c r="BX242" s="945"/>
      <c r="BY242" s="945"/>
      <c r="BZ242" s="945"/>
    </row>
    <row r="243" spans="39:78" s="165" customFormat="1">
      <c r="AM243" s="945"/>
      <c r="AN243" s="945"/>
      <c r="AO243" s="945"/>
      <c r="AP243" s="945"/>
      <c r="AQ243" s="945"/>
      <c r="AR243" s="945"/>
      <c r="AS243" s="945"/>
      <c r="AT243" s="945"/>
      <c r="AU243" s="945"/>
      <c r="AV243" s="945"/>
      <c r="AW243" s="945"/>
      <c r="AX243" s="945"/>
      <c r="AY243" s="945"/>
      <c r="AZ243" s="945"/>
      <c r="BA243" s="945"/>
      <c r="BB243" s="945"/>
      <c r="BC243" s="945"/>
      <c r="BD243" s="945"/>
      <c r="BE243" s="945"/>
      <c r="BF243" s="945"/>
      <c r="BG243" s="945"/>
      <c r="BH243" s="945"/>
      <c r="BI243" s="945"/>
      <c r="BJ243" s="945"/>
      <c r="BK243" s="945"/>
      <c r="BL243" s="945"/>
      <c r="BM243" s="945"/>
      <c r="BN243" s="945"/>
      <c r="BO243" s="945"/>
      <c r="BP243" s="945"/>
      <c r="BQ243" s="945"/>
      <c r="BR243" s="945"/>
      <c r="BS243" s="945"/>
      <c r="BT243" s="945"/>
      <c r="BU243" s="945"/>
      <c r="BV243" s="945"/>
      <c r="BW243" s="945"/>
      <c r="BX243" s="945"/>
      <c r="BY243" s="945"/>
      <c r="BZ243" s="945"/>
    </row>
    <row r="244" spans="39:78" s="165" customFormat="1">
      <c r="AM244" s="945"/>
      <c r="AN244" s="945"/>
      <c r="AO244" s="945"/>
      <c r="AP244" s="945"/>
      <c r="AQ244" s="945"/>
      <c r="AR244" s="945"/>
      <c r="AS244" s="945"/>
      <c r="AT244" s="945"/>
      <c r="AU244" s="945"/>
      <c r="AV244" s="945"/>
      <c r="AW244" s="945"/>
      <c r="AX244" s="945"/>
      <c r="AY244" s="945"/>
      <c r="AZ244" s="945"/>
      <c r="BA244" s="945"/>
      <c r="BB244" s="945"/>
      <c r="BC244" s="945"/>
      <c r="BD244" s="945"/>
      <c r="BE244" s="945"/>
      <c r="BF244" s="945"/>
      <c r="BG244" s="945"/>
      <c r="BH244" s="945"/>
      <c r="BI244" s="945"/>
      <c r="BJ244" s="945"/>
      <c r="BK244" s="945"/>
      <c r="BL244" s="945"/>
      <c r="BM244" s="945"/>
      <c r="BN244" s="945"/>
      <c r="BO244" s="945"/>
      <c r="BP244" s="945"/>
      <c r="BQ244" s="945"/>
      <c r="BR244" s="945"/>
      <c r="BS244" s="945"/>
      <c r="BT244" s="945"/>
      <c r="BU244" s="945"/>
      <c r="BV244" s="945"/>
      <c r="BW244" s="945"/>
      <c r="BX244" s="945"/>
      <c r="BY244" s="945"/>
      <c r="BZ244" s="945"/>
    </row>
    <row r="245" spans="39:78" s="165" customFormat="1">
      <c r="AM245" s="945"/>
      <c r="AN245" s="945"/>
      <c r="AO245" s="945"/>
      <c r="AP245" s="945"/>
      <c r="AQ245" s="945"/>
      <c r="AR245" s="945"/>
      <c r="AS245" s="945"/>
      <c r="AT245" s="945"/>
      <c r="AU245" s="945"/>
      <c r="AV245" s="945"/>
      <c r="AW245" s="945"/>
      <c r="AX245" s="945"/>
      <c r="AY245" s="945"/>
      <c r="AZ245" s="945"/>
      <c r="BA245" s="945"/>
      <c r="BB245" s="945"/>
      <c r="BC245" s="945"/>
      <c r="BD245" s="945"/>
      <c r="BE245" s="945"/>
      <c r="BF245" s="945"/>
      <c r="BG245" s="945"/>
      <c r="BH245" s="945"/>
      <c r="BI245" s="945"/>
      <c r="BJ245" s="945"/>
      <c r="BK245" s="945"/>
      <c r="BL245" s="945"/>
      <c r="BM245" s="945"/>
      <c r="BN245" s="945"/>
      <c r="BO245" s="945"/>
      <c r="BP245" s="945"/>
      <c r="BQ245" s="945"/>
      <c r="BR245" s="945"/>
      <c r="BS245" s="945"/>
      <c r="BT245" s="945"/>
      <c r="BU245" s="945"/>
      <c r="BV245" s="945"/>
      <c r="BW245" s="945"/>
      <c r="BX245" s="945"/>
      <c r="BY245" s="945"/>
      <c r="BZ245" s="945"/>
    </row>
    <row r="246" spans="39:78" s="165" customFormat="1">
      <c r="AM246" s="945"/>
      <c r="AN246" s="945"/>
      <c r="AO246" s="945"/>
      <c r="AP246" s="945"/>
      <c r="AQ246" s="945"/>
      <c r="AR246" s="945"/>
      <c r="AS246" s="945"/>
      <c r="AT246" s="945"/>
      <c r="AU246" s="945"/>
      <c r="AV246" s="945"/>
      <c r="AW246" s="945"/>
      <c r="AX246" s="945"/>
      <c r="AY246" s="945"/>
      <c r="AZ246" s="945"/>
      <c r="BA246" s="945"/>
      <c r="BB246" s="945"/>
      <c r="BC246" s="945"/>
      <c r="BD246" s="945"/>
      <c r="BE246" s="945"/>
      <c r="BF246" s="945"/>
      <c r="BG246" s="945"/>
      <c r="BH246" s="945"/>
      <c r="BI246" s="945"/>
      <c r="BJ246" s="945"/>
      <c r="BK246" s="945"/>
      <c r="BL246" s="945"/>
      <c r="BM246" s="945"/>
      <c r="BN246" s="945"/>
      <c r="BO246" s="945"/>
      <c r="BP246" s="945"/>
      <c r="BQ246" s="945"/>
      <c r="BR246" s="945"/>
      <c r="BS246" s="945"/>
      <c r="BT246" s="945"/>
      <c r="BU246" s="945"/>
      <c r="BV246" s="945"/>
      <c r="BW246" s="945"/>
      <c r="BX246" s="945"/>
      <c r="BY246" s="945"/>
      <c r="BZ246" s="945"/>
    </row>
    <row r="247" spans="39:78" s="165" customFormat="1">
      <c r="AM247" s="945"/>
      <c r="AN247" s="945"/>
      <c r="AO247" s="945"/>
      <c r="AP247" s="945"/>
      <c r="AQ247" s="945"/>
      <c r="AR247" s="945"/>
      <c r="AS247" s="945"/>
      <c r="AT247" s="945"/>
      <c r="AU247" s="945"/>
      <c r="AV247" s="945"/>
      <c r="AW247" s="945"/>
      <c r="AX247" s="945"/>
      <c r="AY247" s="945"/>
      <c r="AZ247" s="945"/>
      <c r="BA247" s="945"/>
      <c r="BB247" s="945"/>
      <c r="BC247" s="945"/>
      <c r="BD247" s="945"/>
      <c r="BE247" s="945"/>
      <c r="BF247" s="945"/>
      <c r="BG247" s="945"/>
      <c r="BH247" s="945"/>
      <c r="BI247" s="945"/>
      <c r="BJ247" s="945"/>
      <c r="BK247" s="945"/>
      <c r="BL247" s="945"/>
      <c r="BM247" s="945"/>
      <c r="BN247" s="945"/>
      <c r="BO247" s="945"/>
      <c r="BP247" s="945"/>
      <c r="BQ247" s="945"/>
      <c r="BR247" s="945"/>
      <c r="BS247" s="945"/>
      <c r="BT247" s="945"/>
      <c r="BU247" s="945"/>
      <c r="BV247" s="945"/>
      <c r="BW247" s="945"/>
      <c r="BX247" s="945"/>
      <c r="BY247" s="945"/>
      <c r="BZ247" s="945"/>
    </row>
    <row r="248" spans="39:78" s="165" customFormat="1">
      <c r="AM248" s="945"/>
      <c r="AN248" s="945"/>
      <c r="AO248" s="945"/>
      <c r="AP248" s="945"/>
      <c r="AQ248" s="945"/>
      <c r="AR248" s="945"/>
      <c r="AS248" s="945"/>
      <c r="AT248" s="945"/>
      <c r="AU248" s="945"/>
      <c r="AV248" s="945"/>
      <c r="AW248" s="945"/>
      <c r="AX248" s="945"/>
      <c r="AY248" s="945"/>
      <c r="AZ248" s="945"/>
      <c r="BA248" s="945"/>
      <c r="BB248" s="945"/>
      <c r="BC248" s="945"/>
      <c r="BD248" s="945"/>
      <c r="BE248" s="945"/>
      <c r="BF248" s="945"/>
      <c r="BG248" s="945"/>
      <c r="BH248" s="945"/>
      <c r="BI248" s="945"/>
      <c r="BJ248" s="945"/>
      <c r="BK248" s="945"/>
      <c r="BL248" s="945"/>
      <c r="BM248" s="945"/>
      <c r="BN248" s="945"/>
      <c r="BO248" s="945"/>
      <c r="BP248" s="945"/>
      <c r="BQ248" s="945"/>
      <c r="BR248" s="945"/>
      <c r="BS248" s="945"/>
      <c r="BT248" s="945"/>
      <c r="BU248" s="945"/>
      <c r="BV248" s="945"/>
      <c r="BW248" s="945"/>
      <c r="BX248" s="945"/>
      <c r="BY248" s="945"/>
      <c r="BZ248" s="945"/>
    </row>
    <row r="249" spans="39:78" s="165" customFormat="1">
      <c r="AM249" s="945"/>
      <c r="AN249" s="945"/>
      <c r="AO249" s="945"/>
      <c r="AP249" s="945"/>
      <c r="AQ249" s="945"/>
      <c r="AR249" s="945"/>
      <c r="AS249" s="945"/>
      <c r="AT249" s="945"/>
      <c r="AU249" s="945"/>
      <c r="AV249" s="945"/>
      <c r="AW249" s="945"/>
      <c r="AX249" s="945"/>
      <c r="AY249" s="945"/>
      <c r="AZ249" s="945"/>
      <c r="BA249" s="945"/>
      <c r="BB249" s="945"/>
      <c r="BC249" s="945"/>
      <c r="BD249" s="945"/>
      <c r="BE249" s="945"/>
      <c r="BF249" s="945"/>
      <c r="BG249" s="945"/>
      <c r="BH249" s="945"/>
      <c r="BI249" s="945"/>
      <c r="BJ249" s="945"/>
      <c r="BK249" s="945"/>
      <c r="BL249" s="945"/>
      <c r="BM249" s="945"/>
      <c r="BN249" s="945"/>
      <c r="BO249" s="945"/>
      <c r="BP249" s="945"/>
      <c r="BQ249" s="945"/>
      <c r="BR249" s="945"/>
      <c r="BS249" s="945"/>
      <c r="BT249" s="945"/>
      <c r="BU249" s="945"/>
      <c r="BV249" s="945"/>
      <c r="BW249" s="945"/>
      <c r="BX249" s="945"/>
      <c r="BY249" s="945"/>
      <c r="BZ249" s="945"/>
    </row>
    <row r="250" spans="39:78" s="165" customFormat="1">
      <c r="AM250" s="945"/>
      <c r="AN250" s="945"/>
      <c r="AO250" s="945"/>
      <c r="AP250" s="945"/>
      <c r="AQ250" s="945"/>
      <c r="AR250" s="945"/>
      <c r="AS250" s="945"/>
      <c r="AT250" s="945"/>
      <c r="AU250" s="945"/>
      <c r="AV250" s="945"/>
      <c r="AW250" s="945"/>
      <c r="AX250" s="945"/>
      <c r="AY250" s="945"/>
      <c r="AZ250" s="945"/>
      <c r="BA250" s="945"/>
      <c r="BB250" s="945"/>
      <c r="BC250" s="945"/>
      <c r="BD250" s="945"/>
      <c r="BE250" s="945"/>
      <c r="BF250" s="945"/>
      <c r="BG250" s="945"/>
      <c r="BH250" s="945"/>
      <c r="BI250" s="945"/>
      <c r="BJ250" s="945"/>
      <c r="BK250" s="945"/>
      <c r="BL250" s="945"/>
      <c r="BM250" s="945"/>
      <c r="BN250" s="945"/>
      <c r="BO250" s="945"/>
      <c r="BP250" s="945"/>
      <c r="BQ250" s="945"/>
      <c r="BR250" s="945"/>
      <c r="BS250" s="945"/>
      <c r="BT250" s="945"/>
      <c r="BU250" s="945"/>
      <c r="BV250" s="945"/>
      <c r="BW250" s="945"/>
      <c r="BX250" s="945"/>
      <c r="BY250" s="945"/>
      <c r="BZ250" s="945"/>
    </row>
    <row r="251" spans="39:78" s="165" customFormat="1">
      <c r="AM251" s="945"/>
      <c r="AN251" s="945"/>
      <c r="AO251" s="945"/>
      <c r="AP251" s="945"/>
      <c r="AQ251" s="945"/>
      <c r="AR251" s="945"/>
      <c r="AS251" s="945"/>
      <c r="AT251" s="945"/>
      <c r="AU251" s="945"/>
      <c r="AV251" s="945"/>
      <c r="AW251" s="945"/>
      <c r="AX251" s="945"/>
      <c r="AY251" s="945"/>
      <c r="AZ251" s="945"/>
      <c r="BA251" s="945"/>
      <c r="BB251" s="945"/>
      <c r="BC251" s="945"/>
      <c r="BD251" s="945"/>
      <c r="BE251" s="945"/>
      <c r="BF251" s="945"/>
      <c r="BG251" s="945"/>
      <c r="BH251" s="945"/>
      <c r="BI251" s="945"/>
      <c r="BJ251" s="945"/>
      <c r="BK251" s="945"/>
      <c r="BL251" s="945"/>
      <c r="BM251" s="945"/>
      <c r="BN251" s="945"/>
      <c r="BO251" s="945"/>
      <c r="BP251" s="945"/>
      <c r="BQ251" s="945"/>
      <c r="BR251" s="945"/>
      <c r="BS251" s="945"/>
      <c r="BT251" s="945"/>
      <c r="BU251" s="945"/>
      <c r="BV251" s="945"/>
      <c r="BW251" s="945"/>
      <c r="BX251" s="945"/>
      <c r="BY251" s="945"/>
      <c r="BZ251" s="945"/>
    </row>
    <row r="252" spans="39:78" s="165" customFormat="1">
      <c r="AM252" s="945"/>
      <c r="AN252" s="945"/>
      <c r="AO252" s="945"/>
      <c r="AP252" s="945"/>
      <c r="AQ252" s="945"/>
      <c r="AR252" s="945"/>
      <c r="AS252" s="945"/>
      <c r="AT252" s="945"/>
      <c r="AU252" s="945"/>
      <c r="AV252" s="945"/>
      <c r="AW252" s="945"/>
      <c r="AX252" s="945"/>
      <c r="AY252" s="945"/>
      <c r="AZ252" s="945"/>
      <c r="BA252" s="945"/>
      <c r="BB252" s="945"/>
      <c r="BC252" s="945"/>
      <c r="BD252" s="945"/>
      <c r="BE252" s="945"/>
      <c r="BF252" s="945"/>
      <c r="BG252" s="945"/>
      <c r="BH252" s="945"/>
      <c r="BI252" s="945"/>
      <c r="BJ252" s="945"/>
      <c r="BK252" s="945"/>
      <c r="BL252" s="945"/>
      <c r="BM252" s="945"/>
      <c r="BN252" s="945"/>
      <c r="BO252" s="945"/>
      <c r="BP252" s="945"/>
      <c r="BQ252" s="945"/>
      <c r="BR252" s="945"/>
      <c r="BS252" s="945"/>
      <c r="BT252" s="945"/>
      <c r="BU252" s="945"/>
      <c r="BV252" s="945"/>
      <c r="BW252" s="945"/>
      <c r="BX252" s="945"/>
      <c r="BY252" s="945"/>
      <c r="BZ252" s="945"/>
    </row>
    <row r="253" spans="39:78" s="165" customFormat="1">
      <c r="AM253" s="945"/>
      <c r="AN253" s="945"/>
      <c r="AO253" s="945"/>
      <c r="AP253" s="945"/>
      <c r="AQ253" s="945"/>
      <c r="AR253" s="945"/>
      <c r="AS253" s="945"/>
      <c r="AT253" s="945"/>
      <c r="AU253" s="945"/>
      <c r="AV253" s="945"/>
      <c r="AW253" s="945"/>
      <c r="AX253" s="945"/>
      <c r="AY253" s="945"/>
      <c r="AZ253" s="945"/>
      <c r="BA253" s="945"/>
      <c r="BB253" s="945"/>
      <c r="BC253" s="945"/>
      <c r="BD253" s="945"/>
      <c r="BE253" s="945"/>
      <c r="BF253" s="945"/>
      <c r="BG253" s="945"/>
      <c r="BH253" s="945"/>
      <c r="BI253" s="945"/>
      <c r="BJ253" s="945"/>
      <c r="BK253" s="945"/>
      <c r="BL253" s="945"/>
      <c r="BM253" s="945"/>
      <c r="BN253" s="945"/>
      <c r="BO253" s="945"/>
      <c r="BP253" s="945"/>
      <c r="BQ253" s="945"/>
      <c r="BR253" s="945"/>
      <c r="BS253" s="945"/>
      <c r="BT253" s="945"/>
      <c r="BU253" s="945"/>
      <c r="BV253" s="945"/>
      <c r="BW253" s="945"/>
      <c r="BX253" s="945"/>
      <c r="BY253" s="945"/>
      <c r="BZ253" s="945"/>
    </row>
    <row r="254" spans="39:78" s="165" customFormat="1">
      <c r="AM254" s="945"/>
      <c r="AN254" s="945"/>
      <c r="AO254" s="945"/>
      <c r="AP254" s="945"/>
      <c r="AQ254" s="945"/>
      <c r="AR254" s="945"/>
      <c r="AS254" s="945"/>
      <c r="AT254" s="945"/>
      <c r="AU254" s="945"/>
      <c r="AV254" s="945"/>
      <c r="AW254" s="945"/>
      <c r="AX254" s="945"/>
      <c r="AY254" s="945"/>
      <c r="AZ254" s="945"/>
      <c r="BA254" s="945"/>
      <c r="BB254" s="945"/>
      <c r="BC254" s="945"/>
      <c r="BD254" s="945"/>
      <c r="BE254" s="945"/>
      <c r="BF254" s="945"/>
      <c r="BG254" s="945"/>
      <c r="BH254" s="945"/>
      <c r="BI254" s="945"/>
      <c r="BJ254" s="945"/>
      <c r="BK254" s="945"/>
      <c r="BL254" s="945"/>
      <c r="BM254" s="945"/>
      <c r="BN254" s="945"/>
      <c r="BO254" s="945"/>
      <c r="BP254" s="945"/>
      <c r="BQ254" s="945"/>
      <c r="BR254" s="945"/>
      <c r="BS254" s="945"/>
      <c r="BT254" s="945"/>
      <c r="BU254" s="945"/>
      <c r="BV254" s="945"/>
      <c r="BW254" s="945"/>
      <c r="BX254" s="945"/>
      <c r="BY254" s="945"/>
      <c r="BZ254" s="945"/>
    </row>
    <row r="255" spans="39:78" s="165" customFormat="1">
      <c r="AM255" s="945"/>
      <c r="AN255" s="945"/>
      <c r="AO255" s="945"/>
      <c r="AP255" s="945"/>
      <c r="AQ255" s="945"/>
      <c r="AR255" s="945"/>
      <c r="AS255" s="945"/>
      <c r="AT255" s="945"/>
      <c r="AU255" s="945"/>
      <c r="AV255" s="945"/>
      <c r="AW255" s="945"/>
      <c r="AX255" s="945"/>
      <c r="AY255" s="945"/>
      <c r="AZ255" s="945"/>
      <c r="BA255" s="945"/>
      <c r="BB255" s="945"/>
      <c r="BC255" s="945"/>
      <c r="BD255" s="945"/>
      <c r="BE255" s="945"/>
      <c r="BF255" s="945"/>
      <c r="BG255" s="945"/>
      <c r="BH255" s="945"/>
      <c r="BI255" s="945"/>
      <c r="BJ255" s="945"/>
      <c r="BK255" s="945"/>
      <c r="BL255" s="945"/>
      <c r="BM255" s="945"/>
      <c r="BN255" s="945"/>
      <c r="BO255" s="945"/>
      <c r="BP255" s="945"/>
      <c r="BQ255" s="945"/>
      <c r="BR255" s="945"/>
      <c r="BS255" s="945"/>
      <c r="BT255" s="945"/>
      <c r="BU255" s="945"/>
      <c r="BV255" s="945"/>
      <c r="BW255" s="945"/>
      <c r="BX255" s="945"/>
      <c r="BY255" s="945"/>
      <c r="BZ255" s="945"/>
    </row>
    <row r="256" spans="39:78" s="165" customFormat="1">
      <c r="AM256" s="945"/>
      <c r="AN256" s="945"/>
      <c r="AO256" s="945"/>
      <c r="AP256" s="945"/>
      <c r="AQ256" s="945"/>
      <c r="AR256" s="945"/>
      <c r="AS256" s="945"/>
      <c r="AT256" s="945"/>
      <c r="AU256" s="945"/>
      <c r="AV256" s="945"/>
      <c r="AW256" s="945"/>
      <c r="AX256" s="945"/>
      <c r="AY256" s="945"/>
      <c r="AZ256" s="945"/>
      <c r="BA256" s="945"/>
      <c r="BB256" s="945"/>
      <c r="BC256" s="945"/>
      <c r="BD256" s="945"/>
      <c r="BE256" s="945"/>
      <c r="BF256" s="945"/>
      <c r="BG256" s="945"/>
      <c r="BH256" s="945"/>
      <c r="BI256" s="945"/>
      <c r="BJ256" s="945"/>
      <c r="BK256" s="945"/>
      <c r="BL256" s="945"/>
      <c r="BM256" s="945"/>
      <c r="BN256" s="945"/>
      <c r="BO256" s="945"/>
      <c r="BP256" s="945"/>
      <c r="BQ256" s="945"/>
      <c r="BR256" s="945"/>
      <c r="BS256" s="945"/>
      <c r="BT256" s="945"/>
      <c r="BU256" s="945"/>
      <c r="BV256" s="945"/>
      <c r="BW256" s="945"/>
      <c r="BX256" s="945"/>
      <c r="BY256" s="945"/>
      <c r="BZ256" s="945"/>
    </row>
    <row r="257" spans="39:78" s="165" customFormat="1">
      <c r="AM257" s="945"/>
      <c r="AN257" s="945"/>
      <c r="AO257" s="945"/>
      <c r="AP257" s="945"/>
      <c r="AQ257" s="945"/>
      <c r="AR257" s="945"/>
      <c r="AS257" s="945"/>
      <c r="AT257" s="945"/>
      <c r="AU257" s="945"/>
      <c r="AV257" s="945"/>
      <c r="AW257" s="945"/>
      <c r="AX257" s="945"/>
      <c r="AY257" s="945"/>
      <c r="AZ257" s="945"/>
      <c r="BA257" s="945"/>
      <c r="BB257" s="945"/>
      <c r="BC257" s="945"/>
      <c r="BD257" s="945"/>
      <c r="BE257" s="945"/>
      <c r="BF257" s="945"/>
      <c r="BG257" s="945"/>
      <c r="BH257" s="945"/>
      <c r="BI257" s="945"/>
      <c r="BJ257" s="945"/>
      <c r="BK257" s="945"/>
      <c r="BL257" s="945"/>
      <c r="BM257" s="945"/>
      <c r="BN257" s="945"/>
      <c r="BO257" s="945"/>
      <c r="BP257" s="945"/>
      <c r="BQ257" s="945"/>
      <c r="BR257" s="945"/>
      <c r="BS257" s="945"/>
      <c r="BT257" s="945"/>
      <c r="BU257" s="945"/>
      <c r="BV257" s="945"/>
      <c r="BW257" s="945"/>
      <c r="BX257" s="945"/>
      <c r="BY257" s="945"/>
      <c r="BZ257" s="945"/>
    </row>
    <row r="258" spans="39:78" s="165" customFormat="1">
      <c r="AM258" s="945"/>
      <c r="AN258" s="945"/>
      <c r="AO258" s="945"/>
      <c r="AP258" s="945"/>
      <c r="AQ258" s="945"/>
      <c r="AR258" s="945"/>
      <c r="AS258" s="945"/>
      <c r="AT258" s="945"/>
      <c r="AU258" s="945"/>
      <c r="AV258" s="945"/>
      <c r="AW258" s="945"/>
      <c r="AX258" s="945"/>
      <c r="AY258" s="945"/>
      <c r="AZ258" s="945"/>
      <c r="BA258" s="945"/>
      <c r="BB258" s="945"/>
      <c r="BC258" s="945"/>
      <c r="BD258" s="945"/>
      <c r="BE258" s="945"/>
      <c r="BF258" s="945"/>
      <c r="BG258" s="945"/>
      <c r="BH258" s="945"/>
      <c r="BI258" s="945"/>
      <c r="BJ258" s="945"/>
      <c r="BK258" s="945"/>
      <c r="BL258" s="945"/>
      <c r="BM258" s="945"/>
      <c r="BN258" s="945"/>
      <c r="BO258" s="945"/>
      <c r="BP258" s="945"/>
      <c r="BQ258" s="945"/>
      <c r="BR258" s="945"/>
      <c r="BS258" s="945"/>
      <c r="BT258" s="945"/>
      <c r="BU258" s="945"/>
      <c r="BV258" s="945"/>
      <c r="BW258" s="945"/>
      <c r="BX258" s="945"/>
      <c r="BY258" s="945"/>
      <c r="BZ258" s="945"/>
    </row>
    <row r="259" spans="39:78" s="165" customFormat="1">
      <c r="AM259" s="945"/>
      <c r="AN259" s="945"/>
      <c r="AO259" s="945"/>
      <c r="AP259" s="945"/>
      <c r="AQ259" s="945"/>
      <c r="AR259" s="945"/>
      <c r="AS259" s="945"/>
      <c r="AT259" s="945"/>
      <c r="AU259" s="945"/>
      <c r="AV259" s="945"/>
      <c r="AW259" s="945"/>
      <c r="AX259" s="945"/>
      <c r="AY259" s="945"/>
      <c r="AZ259" s="945"/>
      <c r="BA259" s="945"/>
      <c r="BB259" s="945"/>
      <c r="BC259" s="945"/>
      <c r="BD259" s="945"/>
      <c r="BE259" s="945"/>
      <c r="BF259" s="945"/>
      <c r="BG259" s="945"/>
      <c r="BH259" s="945"/>
      <c r="BI259" s="945"/>
      <c r="BJ259" s="945"/>
      <c r="BK259" s="945"/>
      <c r="BL259" s="945"/>
      <c r="BM259" s="945"/>
      <c r="BN259" s="945"/>
      <c r="BO259" s="945"/>
      <c r="BP259" s="945"/>
      <c r="BQ259" s="945"/>
      <c r="BR259" s="945"/>
      <c r="BS259" s="945"/>
      <c r="BT259" s="945"/>
      <c r="BU259" s="945"/>
      <c r="BV259" s="945"/>
      <c r="BW259" s="945"/>
      <c r="BX259" s="945"/>
      <c r="BY259" s="945"/>
      <c r="BZ259" s="945"/>
    </row>
    <row r="260" spans="39:78" s="165" customFormat="1">
      <c r="AM260" s="945"/>
      <c r="AN260" s="945"/>
      <c r="AO260" s="945"/>
      <c r="AP260" s="945"/>
      <c r="AQ260" s="945"/>
      <c r="AR260" s="945"/>
      <c r="AS260" s="945"/>
      <c r="AT260" s="945"/>
      <c r="AU260" s="945"/>
      <c r="AV260" s="945"/>
      <c r="AW260" s="945"/>
      <c r="AX260" s="945"/>
      <c r="AY260" s="945"/>
      <c r="AZ260" s="945"/>
      <c r="BA260" s="945"/>
      <c r="BB260" s="945"/>
      <c r="BC260" s="945"/>
      <c r="BD260" s="945"/>
      <c r="BE260" s="945"/>
      <c r="BF260" s="945"/>
      <c r="BG260" s="945"/>
      <c r="BH260" s="945"/>
      <c r="BI260" s="945"/>
      <c r="BJ260" s="945"/>
      <c r="BK260" s="945"/>
      <c r="BL260" s="945"/>
      <c r="BM260" s="945"/>
      <c r="BN260" s="945"/>
      <c r="BO260" s="945"/>
      <c r="BP260" s="945"/>
      <c r="BQ260" s="945"/>
      <c r="BR260" s="945"/>
      <c r="BS260" s="945"/>
      <c r="BT260" s="945"/>
      <c r="BU260" s="945"/>
      <c r="BV260" s="945"/>
      <c r="BW260" s="945"/>
      <c r="BX260" s="945"/>
      <c r="BY260" s="945"/>
      <c r="BZ260" s="945"/>
    </row>
    <row r="261" spans="39:78" s="165" customFormat="1">
      <c r="AM261" s="945"/>
      <c r="AN261" s="945"/>
      <c r="AO261" s="945"/>
      <c r="AP261" s="945"/>
      <c r="AQ261" s="945"/>
      <c r="AR261" s="945"/>
      <c r="AS261" s="945"/>
      <c r="AT261" s="945"/>
      <c r="AU261" s="945"/>
      <c r="AV261" s="945"/>
      <c r="AW261" s="945"/>
      <c r="AX261" s="945"/>
      <c r="AY261" s="945"/>
      <c r="AZ261" s="945"/>
      <c r="BA261" s="945"/>
      <c r="BB261" s="945"/>
      <c r="BC261" s="945"/>
      <c r="BD261" s="945"/>
      <c r="BE261" s="945"/>
      <c r="BF261" s="945"/>
      <c r="BG261" s="945"/>
      <c r="BH261" s="945"/>
      <c r="BI261" s="945"/>
      <c r="BJ261" s="945"/>
      <c r="BK261" s="945"/>
      <c r="BL261" s="945"/>
      <c r="BM261" s="945"/>
      <c r="BN261" s="945"/>
      <c r="BO261" s="945"/>
      <c r="BP261" s="945"/>
      <c r="BQ261" s="945"/>
      <c r="BR261" s="945"/>
      <c r="BS261" s="945"/>
      <c r="BT261" s="945"/>
      <c r="BU261" s="945"/>
      <c r="BV261" s="945"/>
      <c r="BW261" s="945"/>
      <c r="BX261" s="945"/>
      <c r="BY261" s="945"/>
      <c r="BZ261" s="945"/>
    </row>
    <row r="262" spans="39:78" s="165" customFormat="1">
      <c r="AM262" s="945"/>
      <c r="AN262" s="945"/>
      <c r="AO262" s="945"/>
      <c r="AP262" s="945"/>
      <c r="AQ262" s="945"/>
      <c r="AR262" s="945"/>
      <c r="AS262" s="945"/>
      <c r="AT262" s="945"/>
      <c r="AU262" s="945"/>
      <c r="AV262" s="945"/>
      <c r="AW262" s="945"/>
      <c r="AX262" s="945"/>
      <c r="AY262" s="945"/>
      <c r="AZ262" s="945"/>
      <c r="BA262" s="945"/>
      <c r="BB262" s="945"/>
      <c r="BC262" s="945"/>
      <c r="BD262" s="945"/>
      <c r="BE262" s="945"/>
      <c r="BF262" s="945"/>
      <c r="BG262" s="945"/>
      <c r="BH262" s="945"/>
      <c r="BI262" s="945"/>
      <c r="BJ262" s="945"/>
      <c r="BK262" s="945"/>
      <c r="BL262" s="945"/>
      <c r="BM262" s="945"/>
      <c r="BN262" s="945"/>
      <c r="BO262" s="945"/>
      <c r="BP262" s="945"/>
      <c r="BQ262" s="945"/>
      <c r="BR262" s="945"/>
      <c r="BS262" s="945"/>
      <c r="BT262" s="945"/>
      <c r="BU262" s="945"/>
      <c r="BV262" s="945"/>
      <c r="BW262" s="945"/>
      <c r="BX262" s="945"/>
      <c r="BY262" s="945"/>
      <c r="BZ262" s="945"/>
    </row>
    <row r="263" spans="39:78" s="165" customFormat="1">
      <c r="AM263" s="945"/>
      <c r="AN263" s="945"/>
      <c r="AO263" s="945"/>
      <c r="AP263" s="945"/>
      <c r="AQ263" s="945"/>
      <c r="AR263" s="945"/>
      <c r="AS263" s="945"/>
      <c r="AT263" s="945"/>
      <c r="AU263" s="945"/>
      <c r="AV263" s="945"/>
      <c r="AW263" s="945"/>
      <c r="AX263" s="945"/>
      <c r="AY263" s="945"/>
      <c r="AZ263" s="945"/>
      <c r="BA263" s="945"/>
      <c r="BB263" s="945"/>
      <c r="BC263" s="945"/>
      <c r="BD263" s="945"/>
      <c r="BE263" s="945"/>
      <c r="BF263" s="945"/>
      <c r="BG263" s="945"/>
      <c r="BH263" s="945"/>
      <c r="BI263" s="945"/>
      <c r="BJ263" s="945"/>
      <c r="BK263" s="945"/>
      <c r="BL263" s="945"/>
      <c r="BM263" s="945"/>
      <c r="BN263" s="945"/>
      <c r="BO263" s="945"/>
      <c r="BP263" s="945"/>
      <c r="BQ263" s="945"/>
      <c r="BR263" s="945"/>
      <c r="BS263" s="945"/>
      <c r="BT263" s="945"/>
      <c r="BU263" s="945"/>
      <c r="BV263" s="945"/>
      <c r="BW263" s="945"/>
      <c r="BX263" s="945"/>
      <c r="BY263" s="945"/>
      <c r="BZ263" s="945"/>
    </row>
    <row r="264" spans="39:78" s="165" customFormat="1">
      <c r="AM264" s="945"/>
      <c r="AN264" s="945"/>
      <c r="AO264" s="945"/>
      <c r="AP264" s="945"/>
      <c r="AQ264" s="945"/>
      <c r="AR264" s="945"/>
      <c r="AS264" s="945"/>
      <c r="AT264" s="945"/>
      <c r="AU264" s="945"/>
      <c r="AV264" s="945"/>
      <c r="AW264" s="945"/>
      <c r="AX264" s="945"/>
      <c r="AY264" s="945"/>
      <c r="AZ264" s="945"/>
      <c r="BA264" s="945"/>
      <c r="BB264" s="945"/>
      <c r="BC264" s="945"/>
      <c r="BD264" s="945"/>
      <c r="BE264" s="945"/>
      <c r="BF264" s="945"/>
      <c r="BG264" s="945"/>
      <c r="BH264" s="945"/>
      <c r="BI264" s="945"/>
      <c r="BJ264" s="945"/>
      <c r="BK264" s="945"/>
      <c r="BL264" s="945"/>
      <c r="BM264" s="945"/>
      <c r="BN264" s="945"/>
      <c r="BO264" s="945"/>
      <c r="BP264" s="945"/>
      <c r="BQ264" s="945"/>
      <c r="BR264" s="945"/>
      <c r="BS264" s="945"/>
      <c r="BT264" s="945"/>
      <c r="BU264" s="945"/>
      <c r="BV264" s="945"/>
      <c r="BW264" s="945"/>
      <c r="BX264" s="945"/>
      <c r="BY264" s="945"/>
      <c r="BZ264" s="945"/>
    </row>
    <row r="265" spans="39:78" s="165" customFormat="1">
      <c r="AM265" s="945"/>
      <c r="AN265" s="945"/>
      <c r="AO265" s="945"/>
      <c r="AP265" s="945"/>
      <c r="AQ265" s="945"/>
      <c r="AR265" s="945"/>
      <c r="AS265" s="945"/>
      <c r="AT265" s="945"/>
      <c r="AU265" s="945"/>
      <c r="AV265" s="945"/>
      <c r="AW265" s="945"/>
      <c r="AX265" s="945"/>
      <c r="AY265" s="945"/>
      <c r="AZ265" s="945"/>
      <c r="BA265" s="945"/>
      <c r="BB265" s="945"/>
      <c r="BC265" s="945"/>
      <c r="BD265" s="945"/>
      <c r="BE265" s="945"/>
      <c r="BF265" s="945"/>
      <c r="BG265" s="945"/>
      <c r="BH265" s="945"/>
      <c r="BI265" s="945"/>
      <c r="BJ265" s="945"/>
      <c r="BK265" s="945"/>
      <c r="BL265" s="945"/>
      <c r="BM265" s="945"/>
      <c r="BN265" s="945"/>
      <c r="BO265" s="945"/>
      <c r="BP265" s="945"/>
      <c r="BQ265" s="945"/>
      <c r="BR265" s="945"/>
      <c r="BS265" s="945"/>
      <c r="BT265" s="945"/>
      <c r="BU265" s="945"/>
      <c r="BV265" s="945"/>
      <c r="BW265" s="945"/>
      <c r="BX265" s="945"/>
      <c r="BY265" s="945"/>
      <c r="BZ265" s="945"/>
    </row>
    <row r="266" spans="39:78" s="165" customFormat="1">
      <c r="AM266" s="945"/>
      <c r="AN266" s="945"/>
      <c r="AO266" s="945"/>
      <c r="AP266" s="945"/>
      <c r="AQ266" s="945"/>
      <c r="AR266" s="945"/>
      <c r="AS266" s="945"/>
      <c r="AT266" s="945"/>
      <c r="AU266" s="945"/>
      <c r="AV266" s="945"/>
      <c r="AW266" s="945"/>
      <c r="AX266" s="945"/>
      <c r="AY266" s="945"/>
      <c r="AZ266" s="945"/>
      <c r="BA266" s="945"/>
      <c r="BB266" s="945"/>
      <c r="BC266" s="945"/>
      <c r="BD266" s="945"/>
      <c r="BE266" s="945"/>
      <c r="BF266" s="945"/>
      <c r="BG266" s="945"/>
      <c r="BH266" s="945"/>
      <c r="BI266" s="945"/>
      <c r="BJ266" s="945"/>
      <c r="BK266" s="945"/>
      <c r="BL266" s="945"/>
      <c r="BM266" s="945"/>
      <c r="BN266" s="945"/>
      <c r="BO266" s="945"/>
      <c r="BP266" s="945"/>
      <c r="BQ266" s="945"/>
      <c r="BR266" s="945"/>
      <c r="BS266" s="945"/>
      <c r="BT266" s="945"/>
      <c r="BU266" s="945"/>
      <c r="BV266" s="945"/>
      <c r="BW266" s="945"/>
      <c r="BX266" s="945"/>
      <c r="BY266" s="945"/>
      <c r="BZ266" s="945"/>
    </row>
    <row r="267" spans="39:78" s="165" customFormat="1">
      <c r="AM267" s="945"/>
      <c r="AN267" s="945"/>
      <c r="AO267" s="945"/>
      <c r="AP267" s="945"/>
      <c r="AQ267" s="945"/>
      <c r="AR267" s="945"/>
      <c r="AS267" s="945"/>
      <c r="AT267" s="945"/>
      <c r="AU267" s="945"/>
      <c r="AV267" s="945"/>
      <c r="AW267" s="945"/>
      <c r="AX267" s="945"/>
      <c r="AY267" s="945"/>
      <c r="AZ267" s="945"/>
      <c r="BA267" s="945"/>
      <c r="BB267" s="945"/>
      <c r="BC267" s="945"/>
      <c r="BD267" s="945"/>
      <c r="BE267" s="945"/>
      <c r="BF267" s="945"/>
      <c r="BG267" s="945"/>
      <c r="BH267" s="945"/>
      <c r="BI267" s="945"/>
      <c r="BJ267" s="945"/>
      <c r="BK267" s="945"/>
      <c r="BL267" s="945"/>
      <c r="BM267" s="945"/>
      <c r="BN267" s="945"/>
      <c r="BO267" s="945"/>
      <c r="BP267" s="945"/>
      <c r="BQ267" s="945"/>
      <c r="BR267" s="945"/>
      <c r="BS267" s="945"/>
      <c r="BT267" s="945"/>
      <c r="BU267" s="945"/>
      <c r="BV267" s="945"/>
      <c r="BW267" s="945"/>
      <c r="BX267" s="945"/>
      <c r="BY267" s="945"/>
      <c r="BZ267" s="945"/>
    </row>
    <row r="268" spans="39:78" s="165" customFormat="1">
      <c r="AM268" s="945"/>
      <c r="AN268" s="945"/>
      <c r="AO268" s="945"/>
      <c r="AP268" s="945"/>
      <c r="AQ268" s="945"/>
      <c r="AR268" s="945"/>
      <c r="AS268" s="945"/>
      <c r="AT268" s="945"/>
      <c r="AU268" s="945"/>
      <c r="AV268" s="945"/>
      <c r="AW268" s="945"/>
      <c r="AX268" s="945"/>
      <c r="AY268" s="945"/>
      <c r="AZ268" s="945"/>
      <c r="BA268" s="945"/>
      <c r="BB268" s="945"/>
      <c r="BC268" s="945"/>
      <c r="BD268" s="945"/>
      <c r="BE268" s="945"/>
      <c r="BF268" s="945"/>
      <c r="BG268" s="945"/>
      <c r="BH268" s="945"/>
      <c r="BI268" s="945"/>
      <c r="BJ268" s="945"/>
      <c r="BK268" s="945"/>
      <c r="BL268" s="945"/>
      <c r="BM268" s="945"/>
      <c r="BN268" s="945"/>
      <c r="BO268" s="945"/>
      <c r="BP268" s="945"/>
      <c r="BQ268" s="945"/>
      <c r="BR268" s="945"/>
      <c r="BS268" s="945"/>
      <c r="BT268" s="945"/>
      <c r="BU268" s="945"/>
      <c r="BV268" s="945"/>
      <c r="BW268" s="945"/>
      <c r="BX268" s="945"/>
      <c r="BY268" s="945"/>
      <c r="BZ268" s="945"/>
    </row>
    <row r="269" spans="39:78" s="165" customFormat="1">
      <c r="AM269" s="945"/>
      <c r="AN269" s="945"/>
      <c r="AO269" s="945"/>
      <c r="AP269" s="945"/>
      <c r="AQ269" s="945"/>
      <c r="AR269" s="945"/>
      <c r="AS269" s="945"/>
      <c r="AT269" s="945"/>
      <c r="AU269" s="945"/>
      <c r="AV269" s="945"/>
      <c r="AW269" s="945"/>
      <c r="AX269" s="945"/>
      <c r="AY269" s="945"/>
      <c r="AZ269" s="945"/>
      <c r="BA269" s="945"/>
      <c r="BB269" s="945"/>
      <c r="BC269" s="945"/>
      <c r="BD269" s="945"/>
      <c r="BE269" s="945"/>
      <c r="BF269" s="945"/>
      <c r="BG269" s="945"/>
      <c r="BH269" s="945"/>
      <c r="BI269" s="945"/>
      <c r="BJ269" s="945"/>
      <c r="BK269" s="945"/>
      <c r="BL269" s="945"/>
      <c r="BM269" s="945"/>
      <c r="BN269" s="945"/>
      <c r="BO269" s="945"/>
      <c r="BP269" s="945"/>
      <c r="BQ269" s="945"/>
      <c r="BR269" s="945"/>
      <c r="BS269" s="945"/>
      <c r="BT269" s="945"/>
      <c r="BU269" s="945"/>
      <c r="BV269" s="945"/>
      <c r="BW269" s="945"/>
      <c r="BX269" s="945"/>
      <c r="BY269" s="945"/>
      <c r="BZ269" s="945"/>
    </row>
    <row r="270" spans="39:78" s="165" customFormat="1">
      <c r="AM270" s="945"/>
      <c r="AN270" s="945"/>
      <c r="AO270" s="945"/>
      <c r="AP270" s="945"/>
      <c r="AQ270" s="945"/>
      <c r="AR270" s="945"/>
      <c r="AS270" s="945"/>
      <c r="AT270" s="945"/>
      <c r="AU270" s="945"/>
      <c r="AV270" s="945"/>
      <c r="AW270" s="945"/>
      <c r="AX270" s="945"/>
      <c r="AY270" s="945"/>
      <c r="AZ270" s="945"/>
      <c r="BA270" s="945"/>
      <c r="BB270" s="945"/>
      <c r="BC270" s="945"/>
      <c r="BD270" s="945"/>
      <c r="BE270" s="945"/>
      <c r="BF270" s="945"/>
      <c r="BG270" s="945"/>
      <c r="BH270" s="945"/>
      <c r="BI270" s="945"/>
      <c r="BJ270" s="945"/>
      <c r="BK270" s="945"/>
      <c r="BL270" s="945"/>
      <c r="BM270" s="945"/>
      <c r="BN270" s="945"/>
      <c r="BO270" s="945"/>
      <c r="BP270" s="945"/>
      <c r="BQ270" s="945"/>
      <c r="BR270" s="945"/>
      <c r="BS270" s="945"/>
      <c r="BT270" s="945"/>
      <c r="BU270" s="945"/>
      <c r="BV270" s="945"/>
      <c r="BW270" s="945"/>
      <c r="BX270" s="945"/>
      <c r="BY270" s="945"/>
      <c r="BZ270" s="945"/>
    </row>
    <row r="271" spans="39:78" s="165" customFormat="1">
      <c r="AM271" s="945"/>
      <c r="AN271" s="945"/>
      <c r="AO271" s="945"/>
      <c r="AP271" s="945"/>
      <c r="AQ271" s="945"/>
      <c r="AR271" s="945"/>
      <c r="AS271" s="945"/>
      <c r="AT271" s="945"/>
      <c r="AU271" s="945"/>
      <c r="AV271" s="945"/>
      <c r="AW271" s="945"/>
      <c r="AX271" s="945"/>
      <c r="AY271" s="945"/>
      <c r="AZ271" s="945"/>
      <c r="BA271" s="945"/>
      <c r="BB271" s="945"/>
      <c r="BC271" s="945"/>
      <c r="BD271" s="945"/>
      <c r="BE271" s="945"/>
      <c r="BF271" s="945"/>
      <c r="BG271" s="945"/>
      <c r="BH271" s="945"/>
      <c r="BI271" s="945"/>
      <c r="BJ271" s="945"/>
      <c r="BK271" s="945"/>
      <c r="BL271" s="945"/>
      <c r="BM271" s="945"/>
      <c r="BN271" s="945"/>
      <c r="BO271" s="945"/>
      <c r="BP271" s="945"/>
      <c r="BQ271" s="945"/>
      <c r="BR271" s="945"/>
      <c r="BS271" s="945"/>
      <c r="BT271" s="945"/>
      <c r="BU271" s="945"/>
      <c r="BV271" s="945"/>
      <c r="BW271" s="945"/>
      <c r="BX271" s="945"/>
      <c r="BY271" s="945"/>
      <c r="BZ271" s="945"/>
    </row>
    <row r="272" spans="39:78" s="165" customFormat="1">
      <c r="AM272" s="945"/>
      <c r="AN272" s="945"/>
      <c r="AO272" s="945"/>
      <c r="AP272" s="945"/>
      <c r="AQ272" s="945"/>
      <c r="AR272" s="945"/>
      <c r="AS272" s="945"/>
      <c r="AT272" s="945"/>
      <c r="AU272" s="945"/>
      <c r="AV272" s="945"/>
      <c r="AW272" s="945"/>
      <c r="AX272" s="945"/>
      <c r="AY272" s="945"/>
      <c r="AZ272" s="945"/>
      <c r="BA272" s="945"/>
      <c r="BB272" s="945"/>
      <c r="BC272" s="945"/>
      <c r="BD272" s="945"/>
      <c r="BE272" s="945"/>
      <c r="BF272" s="945"/>
      <c r="BG272" s="945"/>
      <c r="BH272" s="945"/>
      <c r="BI272" s="945"/>
      <c r="BJ272" s="945"/>
      <c r="BK272" s="945"/>
      <c r="BL272" s="945"/>
      <c r="BM272" s="945"/>
      <c r="BN272" s="945"/>
      <c r="BO272" s="945"/>
      <c r="BP272" s="945"/>
      <c r="BQ272" s="945"/>
      <c r="BR272" s="945"/>
      <c r="BS272" s="945"/>
      <c r="BT272" s="945"/>
      <c r="BU272" s="945"/>
      <c r="BV272" s="945"/>
      <c r="BW272" s="945"/>
      <c r="BX272" s="945"/>
      <c r="BY272" s="945"/>
      <c r="BZ272" s="945"/>
    </row>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row r="719" s="165" customFormat="1"/>
    <row r="720" s="165" customFormat="1"/>
    <row r="721" s="165" customFormat="1"/>
    <row r="722" s="165" customFormat="1"/>
    <row r="723" s="165" customFormat="1"/>
    <row r="724" s="165" customFormat="1"/>
    <row r="725" s="165" customFormat="1"/>
    <row r="726" s="165" customFormat="1"/>
    <row r="727" s="165" customFormat="1"/>
    <row r="728" s="165" customFormat="1"/>
    <row r="729" s="165" customFormat="1"/>
    <row r="730" s="165" customFormat="1"/>
    <row r="731" s="165" customFormat="1"/>
    <row r="732" s="165" customFormat="1"/>
    <row r="733" s="165" customFormat="1"/>
    <row r="734" s="165" customFormat="1"/>
    <row r="735" s="165" customFormat="1"/>
    <row r="736" s="165" customFormat="1"/>
    <row r="737" s="165" customFormat="1"/>
    <row r="738" s="165" customFormat="1"/>
    <row r="739" s="165" customFormat="1"/>
    <row r="740" s="165" customFormat="1"/>
    <row r="741" s="165" customFormat="1"/>
    <row r="742" s="165" customFormat="1"/>
    <row r="743" s="165" customFormat="1"/>
    <row r="744" s="165" customFormat="1"/>
    <row r="745" s="165" customFormat="1"/>
    <row r="746" s="165" customFormat="1"/>
    <row r="747" s="165" customFormat="1"/>
    <row r="748" s="165" customFormat="1"/>
    <row r="749" s="165" customFormat="1"/>
    <row r="750" s="165" customFormat="1"/>
    <row r="751" s="165" customFormat="1"/>
    <row r="752" s="165"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6">
    <mergeCell ref="BV2:BZ2"/>
    <mergeCell ref="BV3:BZ3"/>
    <mergeCell ref="BQ2:BU2"/>
    <mergeCell ref="BQ3:BU3"/>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19"/>
  <sheetViews>
    <sheetView showGridLines="0" zoomScale="85" zoomScaleNormal="85" zoomScaleSheetLayoutView="70" workbookViewId="0">
      <pane xSplit="2" topLeftCell="BT1" activePane="topRight" state="frozen"/>
      <selection pane="topRight" activeCell="CA9" sqref="CA9"/>
    </sheetView>
  </sheetViews>
  <sheetFormatPr defaultColWidth="9" defaultRowHeight="12" outlineLevelCol="1"/>
  <cols>
    <col min="1" max="2" width="35.08203125" style="454" customWidth="1"/>
    <col min="3" max="6" width="8.58203125" style="454" customWidth="1"/>
    <col min="7" max="10" width="8.58203125" style="454" customWidth="1" outlineLevel="1"/>
    <col min="11" max="11" width="8.58203125" style="454" customWidth="1"/>
    <col min="12" max="15" width="8.58203125" style="454" customWidth="1" outlineLevel="1"/>
    <col min="16" max="16" width="8.58203125" style="454" customWidth="1"/>
    <col min="17" max="20" width="8.58203125" style="454" customWidth="1" outlineLevel="1"/>
    <col min="21" max="62" width="8.58203125" style="454" customWidth="1"/>
    <col min="63" max="65" width="9" style="454"/>
    <col min="66" max="67" width="8.58203125" style="454" customWidth="1"/>
    <col min="68" max="70" width="9" style="454"/>
    <col min="71" max="71" width="8.58203125" style="454" customWidth="1"/>
    <col min="72" max="75" width="9" style="454"/>
    <col min="76" max="76" width="8.58203125" style="454" customWidth="1"/>
    <col min="77" max="16384" width="9" style="454"/>
  </cols>
  <sheetData>
    <row r="1" spans="1:78" ht="94.5" customHeight="1">
      <c r="A1" s="453"/>
      <c r="B1" s="453"/>
      <c r="AP1" s="502"/>
      <c r="AQ1" s="502"/>
      <c r="AR1" s="502"/>
      <c r="AS1" s="502"/>
      <c r="AT1" s="503"/>
      <c r="AU1" s="502"/>
      <c r="AV1" s="502"/>
      <c r="AW1" s="502"/>
      <c r="AX1" s="502"/>
      <c r="AY1" s="503"/>
      <c r="AZ1" s="502"/>
      <c r="BA1" s="502"/>
      <c r="BB1" s="502"/>
      <c r="BC1" s="502"/>
      <c r="BD1" s="503"/>
      <c r="BE1" s="502"/>
      <c r="BF1" s="502"/>
      <c r="BG1" s="502"/>
      <c r="BH1" s="502"/>
      <c r="BI1" s="503"/>
      <c r="BJ1" s="502"/>
      <c r="BK1" s="502"/>
      <c r="BL1" s="502"/>
      <c r="BM1" s="502"/>
      <c r="BN1" s="503"/>
      <c r="BO1" s="502"/>
      <c r="BP1" s="502"/>
      <c r="BQ1" s="502"/>
      <c r="BR1" s="502"/>
      <c r="BS1" s="503"/>
      <c r="BX1" s="503"/>
    </row>
    <row r="2" spans="1:78" s="459" customFormat="1" ht="42">
      <c r="A2" s="460" t="s">
        <v>488</v>
      </c>
      <c r="B2" s="455" t="s">
        <v>489</v>
      </c>
      <c r="C2" s="456">
        <v>2006</v>
      </c>
      <c r="D2" s="456">
        <v>2007</v>
      </c>
      <c r="E2" s="456">
        <v>2008</v>
      </c>
      <c r="F2" s="456">
        <v>2009</v>
      </c>
      <c r="G2" s="457" t="s">
        <v>490</v>
      </c>
      <c r="H2" s="457" t="s">
        <v>491</v>
      </c>
      <c r="I2" s="457" t="s">
        <v>492</v>
      </c>
      <c r="J2" s="457" t="s">
        <v>493</v>
      </c>
      <c r="K2" s="456">
        <v>2010</v>
      </c>
      <c r="L2" s="457" t="s">
        <v>494</v>
      </c>
      <c r="M2" s="457" t="s">
        <v>495</v>
      </c>
      <c r="N2" s="457" t="s">
        <v>496</v>
      </c>
      <c r="O2" s="457" t="s">
        <v>497</v>
      </c>
      <c r="P2" s="456">
        <v>2011</v>
      </c>
      <c r="Q2" s="457" t="s">
        <v>498</v>
      </c>
      <c r="R2" s="457" t="s">
        <v>499</v>
      </c>
      <c r="S2" s="457" t="s">
        <v>500</v>
      </c>
      <c r="T2" s="457" t="s">
        <v>501</v>
      </c>
      <c r="U2" s="456">
        <v>2012</v>
      </c>
      <c r="V2" s="457" t="s">
        <v>502</v>
      </c>
      <c r="W2" s="457" t="s">
        <v>503</v>
      </c>
      <c r="X2" s="457" t="s">
        <v>504</v>
      </c>
      <c r="Y2" s="457" t="s">
        <v>505</v>
      </c>
      <c r="Z2" s="456">
        <v>2013</v>
      </c>
      <c r="AA2" s="457" t="s">
        <v>506</v>
      </c>
      <c r="AB2" s="457" t="s">
        <v>507</v>
      </c>
      <c r="AC2" s="457" t="s">
        <v>508</v>
      </c>
      <c r="AD2" s="457" t="s">
        <v>509</v>
      </c>
      <c r="AE2" s="456">
        <v>2014</v>
      </c>
      <c r="AF2" s="457" t="s">
        <v>510</v>
      </c>
      <c r="AG2" s="457" t="s">
        <v>511</v>
      </c>
      <c r="AH2" s="457" t="s">
        <v>512</v>
      </c>
      <c r="AI2" s="457" t="s">
        <v>513</v>
      </c>
      <c r="AJ2" s="456">
        <v>2015</v>
      </c>
      <c r="AK2" s="457" t="s">
        <v>514</v>
      </c>
      <c r="AL2" s="457" t="s">
        <v>515</v>
      </c>
      <c r="AM2" s="457" t="s">
        <v>516</v>
      </c>
      <c r="AN2" s="457" t="s">
        <v>517</v>
      </c>
      <c r="AO2" s="456">
        <v>2016</v>
      </c>
      <c r="AP2" s="462" t="s">
        <v>518</v>
      </c>
      <c r="AQ2" s="462" t="s">
        <v>519</v>
      </c>
      <c r="AR2" s="462" t="s">
        <v>520</v>
      </c>
      <c r="AS2" s="462" t="s">
        <v>521</v>
      </c>
      <c r="AT2" s="463" t="s">
        <v>522</v>
      </c>
      <c r="AU2" s="462" t="s">
        <v>523</v>
      </c>
      <c r="AV2" s="462" t="s">
        <v>524</v>
      </c>
      <c r="AW2" s="462" t="s">
        <v>525</v>
      </c>
      <c r="AX2" s="462" t="s">
        <v>526</v>
      </c>
      <c r="AY2" s="463" t="s">
        <v>527</v>
      </c>
      <c r="AZ2" s="462" t="s">
        <v>528</v>
      </c>
      <c r="BA2" s="462" t="s">
        <v>529</v>
      </c>
      <c r="BB2" s="462" t="s">
        <v>530</v>
      </c>
      <c r="BC2" s="462" t="s">
        <v>530</v>
      </c>
      <c r="BD2" s="463" t="s">
        <v>531</v>
      </c>
      <c r="BE2" s="462" t="s">
        <v>532</v>
      </c>
      <c r="BF2" s="462" t="s">
        <v>533</v>
      </c>
      <c r="BG2" s="462" t="s">
        <v>534</v>
      </c>
      <c r="BH2" s="462" t="s">
        <v>535</v>
      </c>
      <c r="BI2" s="463" t="s">
        <v>536</v>
      </c>
      <c r="BJ2" s="462" t="s">
        <v>537</v>
      </c>
      <c r="BK2" s="462" t="s">
        <v>538</v>
      </c>
      <c r="BL2" s="462" t="s">
        <v>539</v>
      </c>
      <c r="BM2" s="462" t="s">
        <v>540</v>
      </c>
      <c r="BN2" s="463" t="s">
        <v>541</v>
      </c>
      <c r="BO2" s="462" t="s">
        <v>542</v>
      </c>
      <c r="BP2" s="462" t="s">
        <v>543</v>
      </c>
      <c r="BQ2" s="462" t="s">
        <v>544</v>
      </c>
      <c r="BR2" s="462" t="s">
        <v>545</v>
      </c>
      <c r="BS2" s="463" t="s">
        <v>546</v>
      </c>
      <c r="BT2" s="462" t="s">
        <v>547</v>
      </c>
      <c r="BU2" s="462" t="s">
        <v>548</v>
      </c>
      <c r="BV2" s="462" t="s">
        <v>549</v>
      </c>
      <c r="BW2" s="462" t="s">
        <v>550</v>
      </c>
      <c r="BX2" s="463" t="s">
        <v>551</v>
      </c>
      <c r="BY2" s="462" t="s">
        <v>552</v>
      </c>
      <c r="BZ2" s="462" t="s">
        <v>778</v>
      </c>
    </row>
    <row r="3" spans="1:78" s="464" customFormat="1" ht="42">
      <c r="A3" s="460" t="s">
        <v>488</v>
      </c>
      <c r="B3" s="455" t="s">
        <v>489</v>
      </c>
      <c r="C3" s="461">
        <v>2006</v>
      </c>
      <c r="D3" s="461">
        <v>2007</v>
      </c>
      <c r="E3" s="461">
        <v>2008</v>
      </c>
      <c r="F3" s="461">
        <v>2009</v>
      </c>
      <c r="G3" s="462" t="s">
        <v>490</v>
      </c>
      <c r="H3" s="462" t="s">
        <v>491</v>
      </c>
      <c r="I3" s="462" t="s">
        <v>492</v>
      </c>
      <c r="J3" s="462" t="s">
        <v>493</v>
      </c>
      <c r="K3" s="461">
        <v>2010</v>
      </c>
      <c r="L3" s="462" t="s">
        <v>494</v>
      </c>
      <c r="M3" s="462" t="s">
        <v>495</v>
      </c>
      <c r="N3" s="462" t="s">
        <v>496</v>
      </c>
      <c r="O3" s="462" t="s">
        <v>497</v>
      </c>
      <c r="P3" s="461">
        <v>2011</v>
      </c>
      <c r="Q3" s="462" t="s">
        <v>498</v>
      </c>
      <c r="R3" s="462" t="s">
        <v>499</v>
      </c>
      <c r="S3" s="462" t="s">
        <v>500</v>
      </c>
      <c r="T3" s="462" t="s">
        <v>501</v>
      </c>
      <c r="U3" s="461">
        <v>2012</v>
      </c>
      <c r="V3" s="462" t="s">
        <v>502</v>
      </c>
      <c r="W3" s="462" t="s">
        <v>503</v>
      </c>
      <c r="X3" s="462" t="s">
        <v>504</v>
      </c>
      <c r="Y3" s="462" t="s">
        <v>505</v>
      </c>
      <c r="Z3" s="461">
        <v>2013</v>
      </c>
      <c r="AA3" s="462" t="s">
        <v>506</v>
      </c>
      <c r="AB3" s="462" t="s">
        <v>507</v>
      </c>
      <c r="AC3" s="462" t="s">
        <v>508</v>
      </c>
      <c r="AD3" s="462" t="s">
        <v>509</v>
      </c>
      <c r="AE3" s="461">
        <v>2014</v>
      </c>
      <c r="AF3" s="462" t="s">
        <v>510</v>
      </c>
      <c r="AG3" s="462" t="s">
        <v>511</v>
      </c>
      <c r="AH3" s="462" t="s">
        <v>512</v>
      </c>
      <c r="AI3" s="462" t="s">
        <v>513</v>
      </c>
      <c r="AJ3" s="461">
        <v>2015</v>
      </c>
      <c r="AK3" s="462" t="s">
        <v>514</v>
      </c>
      <c r="AL3" s="462" t="s">
        <v>515</v>
      </c>
      <c r="AM3" s="462" t="s">
        <v>516</v>
      </c>
      <c r="AN3" s="462" t="s">
        <v>517</v>
      </c>
      <c r="AO3" s="461">
        <v>2016</v>
      </c>
      <c r="AP3" s="457" t="s">
        <v>553</v>
      </c>
      <c r="AQ3" s="457" t="s">
        <v>554</v>
      </c>
      <c r="AR3" s="457" t="s">
        <v>555</v>
      </c>
      <c r="AS3" s="457" t="s">
        <v>556</v>
      </c>
      <c r="AT3" s="458" t="s">
        <v>557</v>
      </c>
      <c r="AU3" s="457" t="s">
        <v>558</v>
      </c>
      <c r="AV3" s="457" t="s">
        <v>559</v>
      </c>
      <c r="AW3" s="457" t="s">
        <v>560</v>
      </c>
      <c r="AX3" s="457" t="s">
        <v>561</v>
      </c>
      <c r="AY3" s="458" t="s">
        <v>562</v>
      </c>
      <c r="AZ3" s="457" t="s">
        <v>563</v>
      </c>
      <c r="BA3" s="457" t="s">
        <v>564</v>
      </c>
      <c r="BB3" s="457" t="s">
        <v>565</v>
      </c>
      <c r="BC3" s="457" t="s">
        <v>566</v>
      </c>
      <c r="BD3" s="458" t="s">
        <v>567</v>
      </c>
      <c r="BE3" s="457" t="s">
        <v>568</v>
      </c>
      <c r="BF3" s="457" t="s">
        <v>569</v>
      </c>
      <c r="BG3" s="457" t="s">
        <v>570</v>
      </c>
      <c r="BH3" s="457" t="s">
        <v>571</v>
      </c>
      <c r="BI3" s="458" t="s">
        <v>572</v>
      </c>
      <c r="BJ3" s="457" t="s">
        <v>573</v>
      </c>
      <c r="BK3" s="457" t="s">
        <v>574</v>
      </c>
      <c r="BL3" s="457" t="s">
        <v>575</v>
      </c>
      <c r="BM3" s="457" t="s">
        <v>576</v>
      </c>
      <c r="BN3" s="458" t="s">
        <v>577</v>
      </c>
      <c r="BO3" s="457" t="s">
        <v>578</v>
      </c>
      <c r="BP3" s="457" t="s">
        <v>579</v>
      </c>
      <c r="BQ3" s="457" t="s">
        <v>580</v>
      </c>
      <c r="BR3" s="457" t="s">
        <v>581</v>
      </c>
      <c r="BS3" s="458" t="s">
        <v>582</v>
      </c>
      <c r="BT3" s="457" t="s">
        <v>583</v>
      </c>
      <c r="BU3" s="457" t="s">
        <v>584</v>
      </c>
      <c r="BV3" s="457" t="s">
        <v>585</v>
      </c>
      <c r="BW3" s="457" t="s">
        <v>586</v>
      </c>
      <c r="BX3" s="458" t="s">
        <v>582</v>
      </c>
      <c r="BY3" s="457" t="s">
        <v>587</v>
      </c>
      <c r="BZ3" s="457" t="s">
        <v>779</v>
      </c>
    </row>
    <row r="4" spans="1:78" s="468" customFormat="1" ht="24" customHeight="1">
      <c r="A4" s="465" t="s">
        <v>588</v>
      </c>
      <c r="B4" s="465" t="s">
        <v>589</v>
      </c>
      <c r="C4" s="466">
        <v>0.155</v>
      </c>
      <c r="D4" s="466">
        <v>0.21099999999999999</v>
      </c>
      <c r="E4" s="466">
        <v>0.317</v>
      </c>
      <c r="F4" s="466">
        <v>0.251</v>
      </c>
      <c r="G4" s="467">
        <v>0.32900000000000001</v>
      </c>
      <c r="H4" s="467">
        <v>0.29499999999999998</v>
      </c>
      <c r="I4" s="467">
        <v>0.28499999999999998</v>
      </c>
      <c r="J4" s="467">
        <v>0.191</v>
      </c>
      <c r="K4" s="466">
        <v>0.27500000000000002</v>
      </c>
      <c r="L4" s="467">
        <v>0.30870278738464518</v>
      </c>
      <c r="M4" s="467">
        <v>0.34613505621374752</v>
      </c>
      <c r="N4" s="467">
        <v>0.31878501150261895</v>
      </c>
      <c r="O4" s="467">
        <v>0.27406013939927337</v>
      </c>
      <c r="P4" s="466">
        <v>0.31073681541046316</v>
      </c>
      <c r="Q4" s="467">
        <v>0.38466527099742531</v>
      </c>
      <c r="R4" s="467">
        <v>0.3779041668709594</v>
      </c>
      <c r="S4" s="467">
        <v>0.4001250502295432</v>
      </c>
      <c r="T4" s="467">
        <v>0.32927622113037824</v>
      </c>
      <c r="U4" s="466">
        <v>0.37154971807437509</v>
      </c>
      <c r="V4" s="467">
        <v>0.3519157165072388</v>
      </c>
      <c r="W4" s="467">
        <v>0.34957890245592677</v>
      </c>
      <c r="X4" s="467">
        <v>0.3961214215056621</v>
      </c>
      <c r="Y4" s="467">
        <v>0.34405245121739447</v>
      </c>
      <c r="Z4" s="466">
        <v>0.35944885852796471</v>
      </c>
      <c r="AA4" s="467">
        <v>0.38927182921261261</v>
      </c>
      <c r="AB4" s="467">
        <v>0.40603700097370976</v>
      </c>
      <c r="AC4" s="467">
        <v>0.37613655149611497</v>
      </c>
      <c r="AD4" s="467">
        <v>0.33211693308476481</v>
      </c>
      <c r="AE4" s="466">
        <v>0.36954614772129168</v>
      </c>
      <c r="AF4" s="467">
        <v>0.38497209102619145</v>
      </c>
      <c r="AG4" s="467">
        <v>0.39567471245747615</v>
      </c>
      <c r="AH4" s="467">
        <v>0.3852747525777464</v>
      </c>
      <c r="AI4" s="467">
        <v>0.33759914172956829</v>
      </c>
      <c r="AJ4" s="466">
        <v>0.37515015779293487</v>
      </c>
      <c r="AK4" s="467">
        <v>0.35807952622673433</v>
      </c>
      <c r="AL4" s="467">
        <v>0.3827418232428671</v>
      </c>
      <c r="AM4" s="467">
        <v>0.4007873356227491</v>
      </c>
      <c r="AN4" s="467">
        <v>0.35592284328034396</v>
      </c>
      <c r="AO4" s="466">
        <v>0.37419063084544396</v>
      </c>
      <c r="AP4" s="467">
        <v>0.38914008205643491</v>
      </c>
      <c r="AQ4" s="467">
        <v>0.39017773998947319</v>
      </c>
      <c r="AR4" s="467">
        <v>0.35597473754653058</v>
      </c>
      <c r="AS4" s="467">
        <v>0.33836073200992561</v>
      </c>
      <c r="AT4" s="466">
        <v>0.36800765114054906</v>
      </c>
      <c r="AU4" s="467">
        <v>0.37938531054179631</v>
      </c>
      <c r="AV4" s="467">
        <v>0.36355255070682235</v>
      </c>
      <c r="AW4" s="467">
        <v>0.33638025594149901</v>
      </c>
      <c r="AX4" s="467">
        <v>0.31355762824783479</v>
      </c>
      <c r="AY4" s="466">
        <v>0.3460289535003418</v>
      </c>
      <c r="AZ4" s="467">
        <v>0.37193724029230529</v>
      </c>
      <c r="BA4" s="467">
        <v>0.36814916182004787</v>
      </c>
      <c r="BB4" s="467">
        <v>0.35282118655787575</v>
      </c>
      <c r="BC4" s="467">
        <v>0.34596461503372328</v>
      </c>
      <c r="BD4" s="466">
        <v>0.35942652084171944</v>
      </c>
      <c r="BE4" s="467">
        <v>0.36043139424960502</v>
      </c>
      <c r="BF4" s="467">
        <v>0.33534774862891703</v>
      </c>
      <c r="BG4" s="467">
        <v>0.35921425004161806</v>
      </c>
      <c r="BH4" s="467">
        <v>0.34673652177205838</v>
      </c>
      <c r="BI4" s="466">
        <v>0.35040486809552868</v>
      </c>
      <c r="BJ4" s="467">
        <f>'P&amp;L'!BG37</f>
        <v>0.36242217312713398</v>
      </c>
      <c r="BK4" s="467">
        <f>'P&amp;L'!BH37</f>
        <v>0.3610785834098173</v>
      </c>
      <c r="BL4" s="467">
        <f>'P&amp;L'!BI37</f>
        <v>1.5155513044625486</v>
      </c>
      <c r="BM4" s="467">
        <f>'P&amp;L'!BJ37</f>
        <v>0.2698315467075037</v>
      </c>
      <c r="BN4" s="466">
        <f>'P&amp;L'!BK37</f>
        <v>0.61873995499839274</v>
      </c>
      <c r="BO4" s="467">
        <f>'P&amp;L'!BL37</f>
        <v>0.25667124250845413</v>
      </c>
      <c r="BP4" s="467">
        <f>'P&amp;L'!BM37</f>
        <v>0.27672624763792941</v>
      </c>
      <c r="BQ4" s="467">
        <f>'P&amp;L'!BN37</f>
        <v>0.29135711883579463</v>
      </c>
      <c r="BR4" s="467">
        <f>'P&amp;L'!BO37</f>
        <v>0.2502624212736177</v>
      </c>
      <c r="BS4" s="466">
        <f>'P&amp;L'!BP37</f>
        <v>0.2687665017459912</v>
      </c>
      <c r="BT4" s="467">
        <f>'P&amp;L'!BQ37</f>
        <v>0.23792704654143107</v>
      </c>
      <c r="BU4" s="467">
        <f>'P&amp;L'!BR37</f>
        <v>0.24271992218371943</v>
      </c>
      <c r="BV4" s="467">
        <f>'P&amp;L'!BS37</f>
        <v>0.28787221112943845</v>
      </c>
      <c r="BW4" s="467">
        <f>'P&amp;L'!BT37</f>
        <v>0.18381094662501704</v>
      </c>
      <c r="BX4" s="466">
        <f>'P&amp;L'!BU37</f>
        <v>0.2371296683619179</v>
      </c>
      <c r="BY4" s="467">
        <f>'P&amp;L'!BV37</f>
        <v>0.27791454054059839</v>
      </c>
      <c r="BZ4" s="467">
        <f>'P&amp;L'!BW37</f>
        <v>0.25041252931129326</v>
      </c>
    </row>
    <row r="5" spans="1:78" s="468" customFormat="1" ht="24" customHeight="1">
      <c r="A5" s="465" t="s">
        <v>590</v>
      </c>
      <c r="B5" s="465" t="s">
        <v>591</v>
      </c>
      <c r="C5" s="466">
        <v>0.11600000000000001</v>
      </c>
      <c r="D5" s="466">
        <v>0.14399999999999999</v>
      </c>
      <c r="E5" s="466">
        <v>0.246</v>
      </c>
      <c r="F5" s="466">
        <v>0.182</v>
      </c>
      <c r="G5" s="467">
        <v>0.23</v>
      </c>
      <c r="H5" s="467">
        <v>0.182</v>
      </c>
      <c r="I5" s="467">
        <v>0.188</v>
      </c>
      <c r="J5" s="467">
        <v>9.8000000000000004E-2</v>
      </c>
      <c r="K5" s="466">
        <v>0.17399999999999999</v>
      </c>
      <c r="L5" s="467">
        <v>0.18967721753120198</v>
      </c>
      <c r="M5" s="467">
        <v>0.1105688210628496</v>
      </c>
      <c r="N5" s="467" t="s">
        <v>592</v>
      </c>
      <c r="O5" s="467">
        <v>0.10608165132384817</v>
      </c>
      <c r="P5" s="466">
        <v>6.7707133573549461E-2</v>
      </c>
      <c r="Q5" s="467">
        <v>0.30649285055729641</v>
      </c>
      <c r="R5" s="467">
        <v>0.13939020375571728</v>
      </c>
      <c r="S5" s="467">
        <v>0.266952761732768</v>
      </c>
      <c r="T5" s="467">
        <v>0.1620322508446396</v>
      </c>
      <c r="U5" s="466">
        <v>0.21535338337745638</v>
      </c>
      <c r="V5" s="467">
        <v>0.13643419081993929</v>
      </c>
      <c r="W5" s="467">
        <v>0.10971771925199814</v>
      </c>
      <c r="X5" s="467">
        <v>0.26051734065642024</v>
      </c>
      <c r="Y5" s="467">
        <v>0.21631129917457795</v>
      </c>
      <c r="Z5" s="466">
        <v>0.18051820848101818</v>
      </c>
      <c r="AA5" s="467">
        <v>0.13582744164810381</v>
      </c>
      <c r="AB5" s="467">
        <v>7.5662981843175381E-2</v>
      </c>
      <c r="AC5" s="467">
        <v>1.9920648040998381E-2</v>
      </c>
      <c r="AD5" s="467">
        <v>5.5531315695532789E-3</v>
      </c>
      <c r="AE5" s="466">
        <v>3.94742169260043E-2</v>
      </c>
      <c r="AF5" s="467">
        <v>7.3336195792185463E-2</v>
      </c>
      <c r="AG5" s="467">
        <v>0.12331929369836385</v>
      </c>
      <c r="AH5" s="467">
        <v>0.20808315044101192</v>
      </c>
      <c r="AI5" s="467">
        <v>7.111383577914876E-2</v>
      </c>
      <c r="AJ5" s="466">
        <v>0.11843632291560617</v>
      </c>
      <c r="AK5" s="467">
        <v>7.5507614213197988E-2</v>
      </c>
      <c r="AL5" s="467">
        <v>9.4518809611527338E-2</v>
      </c>
      <c r="AM5" s="467">
        <v>0.11299103777535824</v>
      </c>
      <c r="AN5" s="467">
        <v>0.134827028519585</v>
      </c>
      <c r="AO5" s="466">
        <v>0.10493535324467103</v>
      </c>
      <c r="AP5" s="467">
        <v>0.11362304278656968</v>
      </c>
      <c r="AQ5" s="467">
        <v>0.11405320053443456</v>
      </c>
      <c r="AR5" s="467">
        <v>9.8247521853695272E-2</v>
      </c>
      <c r="AS5" s="467">
        <v>6.0949131513647663E-2</v>
      </c>
      <c r="AT5" s="466">
        <v>9.6168325092078288E-2</v>
      </c>
      <c r="AU5" s="467">
        <v>0.12455773903405941</v>
      </c>
      <c r="AV5" s="467">
        <v>8.8890596189305407E-2</v>
      </c>
      <c r="AW5" s="467">
        <v>8.3034734917733014E-2</v>
      </c>
      <c r="AX5" s="467">
        <v>2.1785476349100594E-2</v>
      </c>
      <c r="AY5" s="466">
        <v>7.6370237972693752E-2</v>
      </c>
      <c r="AZ5" s="467">
        <v>0.1064980656254476</v>
      </c>
      <c r="BA5" s="467">
        <v>9.1994526171741281E-2</v>
      </c>
      <c r="BB5" s="467">
        <v>8.1766007467846707E-2</v>
      </c>
      <c r="BC5" s="467">
        <v>0.10162588380958593</v>
      </c>
      <c r="BD5" s="466">
        <v>9.5459956663612081E-2</v>
      </c>
      <c r="BE5" s="467">
        <v>6.4521266111988732E-2</v>
      </c>
      <c r="BF5" s="467">
        <v>0.10154749013169415</v>
      </c>
      <c r="BG5" s="467">
        <v>0.11486598967870809</v>
      </c>
      <c r="BH5" s="467">
        <v>0.10056941383535499</v>
      </c>
      <c r="BI5" s="466">
        <v>9.5809410472377121E-2</v>
      </c>
      <c r="BJ5" s="467">
        <f>'P&amp;L'!BG32/'P&amp;L'!BG5</f>
        <v>0.13068219856731605</v>
      </c>
      <c r="BK5" s="467">
        <f>'P&amp;L'!BH32/'P&amp;L'!BH5</f>
        <v>0.17144032661328604</v>
      </c>
      <c r="BL5" s="467">
        <f>'P&amp;L'!BI32/'P&amp;L'!BI5</f>
        <v>1.0385236980111483</v>
      </c>
      <c r="BM5" s="467">
        <f>'P&amp;L'!BJ32/'P&amp;L'!BJ5</f>
        <v>0.10220520673813159</v>
      </c>
      <c r="BN5" s="466">
        <f>'P&amp;L'!BK32/'P&amp;L'!BK5</f>
        <v>0.35474927675988421</v>
      </c>
      <c r="BO5" s="467">
        <f>'P&amp;L'!BL32/'P&amp;L'!BL5</f>
        <v>7.1249204807982039E-2</v>
      </c>
      <c r="BP5" s="467">
        <f>'P&amp;L'!BM32/'P&amp;L'!BM5</f>
        <v>8.7574734363867243E-2</v>
      </c>
      <c r="BQ5" s="467">
        <f>'P&amp;L'!BN32/'P&amp;L'!BN5</f>
        <v>7.065333700204858E-2</v>
      </c>
      <c r="BR5" s="467">
        <f>'P&amp;L'!BO32/'P&amp;L'!BO5</f>
        <v>5.0880569162584259E-2</v>
      </c>
      <c r="BS5" s="466">
        <f>'P&amp;L'!BP32/'P&amp;L'!BP5</f>
        <v>6.9769962757349827E-2</v>
      </c>
      <c r="BT5" s="467">
        <f>'P&amp;L'!BQ32/'P&amp;L'!BQ5</f>
        <v>2.2192354577564022E-2</v>
      </c>
      <c r="BU5" s="467">
        <f>'P&amp;L'!BR32/'P&amp;L'!BR5</f>
        <v>2.4621557541492471E-3</v>
      </c>
      <c r="BV5" s="467">
        <f>'P&amp;L'!BS32/'P&amp;L'!BS5</f>
        <v>2.9574326475099232E-2</v>
      </c>
      <c r="BW5" s="467">
        <f>'P&amp;L'!BT32/'P&amp;L'!BT5</f>
        <v>3.5393182126850532E-2</v>
      </c>
      <c r="BX5" s="466">
        <f>'P&amp;L'!BU32/'P&amp;L'!BU5</f>
        <v>2.2867542913336852E-2</v>
      </c>
      <c r="BY5" s="467">
        <f>'P&amp;L'!BV32/'P&amp;L'!BV5</f>
        <v>5.4125904225446393E-2</v>
      </c>
      <c r="BZ5" s="467">
        <f>'P&amp;L'!BW32/'P&amp;L'!BW5</f>
        <v>5.0806241496106408E-2</v>
      </c>
    </row>
    <row r="6" spans="1:78" s="4" customFormat="1" ht="24" customHeight="1">
      <c r="A6" s="4" t="s">
        <v>593</v>
      </c>
      <c r="B6" s="4" t="s">
        <v>594</v>
      </c>
      <c r="C6" s="466">
        <v>0.158</v>
      </c>
      <c r="D6" s="466">
        <v>0.191</v>
      </c>
      <c r="E6" s="466">
        <v>0.35599999999999998</v>
      </c>
      <c r="F6" s="466">
        <v>0.29699999999999999</v>
      </c>
      <c r="G6" s="467">
        <v>0.10100000000000001</v>
      </c>
      <c r="H6" s="467">
        <v>7.0999999999999994E-2</v>
      </c>
      <c r="I6" s="467">
        <v>6.9000000000000006E-2</v>
      </c>
      <c r="J6" s="467">
        <v>3.5999999999999997E-2</v>
      </c>
      <c r="K6" s="466">
        <v>0.255</v>
      </c>
      <c r="L6" s="467">
        <v>6.2271468324674333E-2</v>
      </c>
      <c r="M6" s="467">
        <v>1.3239521157757844E-2</v>
      </c>
      <c r="N6" s="467" t="s">
        <v>592</v>
      </c>
      <c r="O6" s="467">
        <v>1.4264993041101997E-2</v>
      </c>
      <c r="P6" s="466">
        <v>2.9950184610851395E-2</v>
      </c>
      <c r="Q6" s="467">
        <v>3.7273881405565285E-2</v>
      </c>
      <c r="R6" s="467">
        <v>1.7775372865166162E-2</v>
      </c>
      <c r="S6" s="467">
        <v>3.1199624869035991E-2</v>
      </c>
      <c r="T6" s="467">
        <v>2.1869529763033944E-2</v>
      </c>
      <c r="U6" s="466">
        <v>0.10758152928832863</v>
      </c>
      <c r="V6" s="467">
        <v>1.6894118349245417E-2</v>
      </c>
      <c r="W6" s="467">
        <v>1.4437552333780404E-2</v>
      </c>
      <c r="X6" s="467">
        <v>3.1520471398527435E-2</v>
      </c>
      <c r="Y6" s="467">
        <v>3.0503344649529706E-2</v>
      </c>
      <c r="Z6" s="466">
        <v>9.2569363820704936E-2</v>
      </c>
      <c r="AA6" s="467">
        <v>1.6778114005449145E-2</v>
      </c>
      <c r="AB6" s="467">
        <v>4.7471709233085704E-3</v>
      </c>
      <c r="AC6" s="467">
        <v>1.7539263205391209E-3</v>
      </c>
      <c r="AD6" s="467">
        <v>5.1209457655268075E-4</v>
      </c>
      <c r="AE6" s="466">
        <v>1.0699118831546462E-2</v>
      </c>
      <c r="AF6" s="467">
        <v>6.3051655844275677E-3</v>
      </c>
      <c r="AG6" s="467">
        <v>1.1218857997627276E-2</v>
      </c>
      <c r="AH6" s="467">
        <v>1.9220838831831989E-2</v>
      </c>
      <c r="AI6" s="467">
        <v>7.0063910668514045E-3</v>
      </c>
      <c r="AJ6" s="466">
        <v>4.3918294004175129E-2</v>
      </c>
      <c r="AK6" s="467">
        <v>6.2950750295357192E-3</v>
      </c>
      <c r="AL6" s="467">
        <v>8.3716748062985218E-3</v>
      </c>
      <c r="AM6" s="467">
        <v>9.8133713549945403E-3</v>
      </c>
      <c r="AN6" s="467">
        <v>1.232631187949209E-2</v>
      </c>
      <c r="AO6" s="466">
        <v>3.6820258715510319E-2</v>
      </c>
      <c r="AP6" s="467">
        <v>9.8500355675565938E-3</v>
      </c>
      <c r="AQ6" s="467">
        <v>1.0312071016747503E-2</v>
      </c>
      <c r="AR6" s="467">
        <v>8.7347448740545761E-3</v>
      </c>
      <c r="AS6" s="467">
        <v>5.6636402939904901E-3</v>
      </c>
      <c r="AT6" s="466">
        <v>3.4053898256232916E-2</v>
      </c>
      <c r="AU6" s="467">
        <v>1.0475220832855341E-2</v>
      </c>
      <c r="AV6" s="467">
        <v>7.7777329622608473E-3</v>
      </c>
      <c r="AW6" s="467">
        <v>7.4715498777771496E-3</v>
      </c>
      <c r="AX6" s="467">
        <v>2.1305152328581472E-3</v>
      </c>
      <c r="AY6" s="466">
        <v>2.658583305100215E-2</v>
      </c>
      <c r="AZ6" s="467">
        <v>9.4489540360668291E-3</v>
      </c>
      <c r="BA6" s="467">
        <v>8.5748360927574603E-3</v>
      </c>
      <c r="BB6" s="467">
        <v>7.5612976657490755E-3</v>
      </c>
      <c r="BC6" s="467">
        <v>9.5705378402926155E-3</v>
      </c>
      <c r="BD6" s="466">
        <v>3.4201094827797859E-2</v>
      </c>
      <c r="BE6" s="467">
        <v>5.6275610027343359E-3</v>
      </c>
      <c r="BF6" s="467">
        <v>8.9109457189450597E-3</v>
      </c>
      <c r="BG6" s="467">
        <v>1.0513773042685913E-2</v>
      </c>
      <c r="BH6" s="467">
        <v>9.8647008914389284E-3</v>
      </c>
      <c r="BI6" s="466">
        <v>3.4611456939151457E-2</v>
      </c>
      <c r="BJ6" s="467">
        <f>'P&amp;L'!BG32/'Balance sheet'!AM40</f>
        <v>1.1846637029844181E-2</v>
      </c>
      <c r="BK6" s="467">
        <f>'P&amp;L'!BH32/'Balance sheet'!AN40</f>
        <v>1.6453892954015972E-2</v>
      </c>
      <c r="BL6" s="467">
        <f>'P&amp;L'!BI32/'Balance sheet'!AO40</f>
        <v>8.7543164087479253E-2</v>
      </c>
      <c r="BM6" s="467">
        <f>'P&amp;L'!BJ32/'Balance sheet'!AP40</f>
        <v>1.0351459503055485E-2</v>
      </c>
      <c r="BN6" s="466">
        <f>'P&amp;L'!BK32/'Balance sheet'!AP40</f>
        <v>0.13693892111548836</v>
      </c>
      <c r="BO6" s="467">
        <f>'P&amp;L'!BL32/'Balance sheet'!AQ40</f>
        <v>6.671850309764478E-3</v>
      </c>
      <c r="BP6" s="467">
        <f>'P&amp;L'!BM32/'Balance sheet'!AR40</f>
        <v>8.8860250204312492E-3</v>
      </c>
      <c r="BQ6" s="467">
        <f>'P&amp;L'!BN32/'Balance sheet'!AS40</f>
        <v>7.2933958631833671E-3</v>
      </c>
      <c r="BR6" s="467">
        <f>'P&amp;L'!BO32/'Balance sheet'!AT40</f>
        <v>5.4013730940426705E-3</v>
      </c>
      <c r="BS6" s="466">
        <f>'P&amp;L'!BP32/'Balance sheet'!AT40</f>
        <v>2.7892133495942009E-2</v>
      </c>
      <c r="BT6" s="467">
        <f>'P&amp;L'!BQ32/'Balance sheet'!AU40</f>
        <v>2.1639348259404152E-3</v>
      </c>
      <c r="BU6" s="467">
        <f>'P&amp;L'!BR32/'Balance sheet'!AV40</f>
        <v>2.3343881309332922E-4</v>
      </c>
      <c r="BV6" s="467">
        <f>'P&amp;L'!BS32/'Balance sheet'!AW40</f>
        <v>2.7792659148326432E-3</v>
      </c>
      <c r="BW6" s="467">
        <f>'P&amp;L'!BT32/'Balance sheet'!AX40</f>
        <v>3.5048834350547581E-3</v>
      </c>
      <c r="BX6" s="466">
        <f>'P&amp;L'!BU32/'Balance sheet'!AX40</f>
        <v>8.3815938477595376E-3</v>
      </c>
      <c r="BY6" s="467">
        <f>'P&amp;L'!BV32/'Balance sheet'!AY40</f>
        <v>5.0409220256834829E-3</v>
      </c>
      <c r="BZ6" s="467">
        <f>'P&amp;L'!BW32/'Balance sheet'!AZ40</f>
        <v>4.7719912663043134E-3</v>
      </c>
    </row>
    <row r="7" spans="1:78" s="4" customFormat="1" ht="24" customHeight="1">
      <c r="A7" s="4" t="s">
        <v>595</v>
      </c>
      <c r="B7" s="4" t="s">
        <v>596</v>
      </c>
      <c r="C7" s="466" t="s">
        <v>592</v>
      </c>
      <c r="D7" s="466" t="s">
        <v>592</v>
      </c>
      <c r="E7" s="466">
        <v>11.443</v>
      </c>
      <c r="F7" s="466">
        <v>2.5009999999999999</v>
      </c>
      <c r="G7" s="467">
        <v>0.26700000000000002</v>
      </c>
      <c r="H7" s="467">
        <v>0.26200000000000001</v>
      </c>
      <c r="I7" s="467">
        <v>0.21199999999999999</v>
      </c>
      <c r="J7" s="467">
        <v>9.5000000000000001E-2</v>
      </c>
      <c r="K7" s="466">
        <v>1.5249999999999999</v>
      </c>
      <c r="L7" s="467">
        <v>0.17852586122288744</v>
      </c>
      <c r="M7" s="467">
        <v>3.8577428856174406E-2</v>
      </c>
      <c r="N7" s="467" t="s">
        <v>592</v>
      </c>
      <c r="O7" s="467">
        <v>4.1927279961049509E-2</v>
      </c>
      <c r="P7" s="466">
        <v>9.1999999999999998E-2</v>
      </c>
      <c r="Q7" s="467">
        <v>0.10877317095676947</v>
      </c>
      <c r="R7" s="467">
        <v>4.7546166174335783E-2</v>
      </c>
      <c r="S7" s="467">
        <v>7.8824364260900753E-2</v>
      </c>
      <c r="T7" s="467">
        <v>5.1825928219061103E-2</v>
      </c>
      <c r="U7" s="466">
        <v>0.31992749070239374</v>
      </c>
      <c r="V7" s="467">
        <v>3.854988705193179E-2</v>
      </c>
      <c r="W7" s="467">
        <v>3.1460520932769673E-2</v>
      </c>
      <c r="X7" s="467">
        <v>6.6607225701146078E-2</v>
      </c>
      <c r="Y7" s="467">
        <v>6.122340013627673E-2</v>
      </c>
      <c r="Z7" s="466">
        <v>0.21223515288993153</v>
      </c>
      <c r="AA7" s="467">
        <v>3.2613364596168266E-2</v>
      </c>
      <c r="AB7" s="467">
        <v>1.4743961784008204E-2</v>
      </c>
      <c r="AC7" s="467">
        <v>5.3069088907238835E-3</v>
      </c>
      <c r="AD7" s="467">
        <v>1.5445378522098774E-3</v>
      </c>
      <c r="AE7" s="466">
        <v>3.3292737061360989E-2</v>
      </c>
      <c r="AF7" s="467">
        <v>1.8684840992878312E-2</v>
      </c>
      <c r="AG7" s="467">
        <v>3.2907179060443298E-2</v>
      </c>
      <c r="AH7" s="467">
        <v>5.2576510593774481E-2</v>
      </c>
      <c r="AI7" s="467">
        <v>1.8441055193998745E-2</v>
      </c>
      <c r="AJ7" s="466">
        <v>0.12803327940836601</v>
      </c>
      <c r="AK7" s="467">
        <v>1.7454310774736723E-2</v>
      </c>
      <c r="AL7" s="467">
        <v>2.1926367667866348E-2</v>
      </c>
      <c r="AM7" s="467">
        <v>2.5065730185716849E-2</v>
      </c>
      <c r="AN7" s="467">
        <v>3.0971927726127686E-2</v>
      </c>
      <c r="AO7" s="466">
        <v>9.8584477531236128E-2</v>
      </c>
      <c r="AP7" s="467">
        <v>2.3855356028443631E-2</v>
      </c>
      <c r="AQ7" s="467">
        <v>2.4616809689427963E-2</v>
      </c>
      <c r="AR7" s="467">
        <v>2.003411513859275E-2</v>
      </c>
      <c r="AS7" s="467">
        <v>1.3144252316130978E-2</v>
      </c>
      <c r="AT7" s="466">
        <v>8.4607397328941306E-2</v>
      </c>
      <c r="AU7" s="467">
        <v>2.3166941519725995E-2</v>
      </c>
      <c r="AV7" s="467">
        <v>1.7500340326410829E-2</v>
      </c>
      <c r="AW7" s="467">
        <v>1.6879487446299284E-2</v>
      </c>
      <c r="AX7" s="467">
        <v>4.7357673536184428E-3</v>
      </c>
      <c r="AY7" s="466">
        <v>6.2492821097931937E-2</v>
      </c>
      <c r="AZ7" s="467">
        <v>2.1426563749972937E-2</v>
      </c>
      <c r="BA7" s="467">
        <v>1.9700210995193979E-2</v>
      </c>
      <c r="BB7" s="467">
        <v>1.6991651459198471E-2</v>
      </c>
      <c r="BC7" s="467">
        <v>2.2038353376764706E-2</v>
      </c>
      <c r="BD7" s="466">
        <v>8.3491262106832345E-2</v>
      </c>
      <c r="BE7" s="467">
        <v>1.2713485180485014E-2</v>
      </c>
      <c r="BF7" s="467">
        <v>1.9846661159394624E-2</v>
      </c>
      <c r="BG7" s="467">
        <v>2.412874257778895E-2</v>
      </c>
      <c r="BH7" s="467">
        <v>2.3157985929700729E-2</v>
      </c>
      <c r="BI7" s="466">
        <v>8.626396577458123E-2</v>
      </c>
      <c r="BJ7" s="467">
        <f>'P&amp;L'!BG32/('Balance sheet'!AM54-'P&amp;L'!BG32)</f>
        <v>2.6068550137220467E-2</v>
      </c>
      <c r="BK7" s="467">
        <f>'P&amp;L'!BH32/('Balance sheet'!AN54-'P&amp;L'!BH32)</f>
        <v>3.7564057223297066E-2</v>
      </c>
      <c r="BL7" s="467">
        <f>'P&amp;L'!BI32/('Balance sheet'!AO54-'P&amp;L'!BI32)</f>
        <v>0.21933753613597581</v>
      </c>
      <c r="BM7" s="467">
        <f>'P&amp;L'!BJ32/('Balance sheet'!AP54-'P&amp;L'!BJ32)</f>
        <v>2.2171431608740983E-2</v>
      </c>
      <c r="BN7" s="466">
        <f>'P&amp;L'!BK32/('Balance sheet'!AP54-'P&amp;L'!BK32)</f>
        <v>0.40241201082943617</v>
      </c>
      <c r="BO7" s="467">
        <f>'P&amp;L'!BL32/('Balance sheet'!AQ54-'P&amp;L'!BL32)</f>
        <v>1.3823477825920315E-2</v>
      </c>
      <c r="BP7" s="467">
        <f>'P&amp;L'!BM32/('Balance sheet'!AR54-'P&amp;L'!BM32)</f>
        <v>1.8669801414599018E-2</v>
      </c>
      <c r="BQ7" s="467">
        <f>'P&amp;L'!BN32/('Balance sheet'!AS54-'P&amp;L'!BN32)</f>
        <v>1.4983726026686772E-2</v>
      </c>
      <c r="BR7" s="467">
        <f>'P&amp;L'!BO32/('Balance sheet'!AT54-'P&amp;L'!BO32)</f>
        <v>1.1159929139246429E-2</v>
      </c>
      <c r="BS7" s="466">
        <f>'P&amp;L'!BP32/('Balance sheet'!AT54-'P&amp;L'!BP32)</f>
        <v>6.0437165067036912E-2</v>
      </c>
      <c r="BT7" s="467">
        <f>'P&amp;L'!BQ32/('Balance sheet'!AU54-'P&amp;L'!BQ32)</f>
        <v>4.4940406489141875E-3</v>
      </c>
      <c r="BU7" s="467">
        <f>'P&amp;L'!BR32/('Balance sheet'!AV54-'P&amp;L'!BR32)</f>
        <v>5.1119581955419901E-4</v>
      </c>
      <c r="BV7" s="467">
        <f>'P&amp;L'!BS32/('Balance sheet'!AW54-'P&amp;L'!BS32)</f>
        <v>6.5256396340023131E-3</v>
      </c>
      <c r="BW7" s="467">
        <f>'P&amp;L'!BT32/('Balance sheet'!AX54-'P&amp;L'!BT32)</f>
        <v>8.0556912252935237E-3</v>
      </c>
      <c r="BX7" s="466">
        <f>'P&amp;L'!BU32/('Balance sheet'!AX54-'P&amp;L'!BU32)</f>
        <v>1.9482793117247026E-2</v>
      </c>
      <c r="BY7" s="467">
        <f>'P&amp;L'!BV32/('Balance sheet'!AY54-'P&amp;L'!BV32)</f>
        <v>1.1304305496395673E-2</v>
      </c>
      <c r="BZ7" s="467">
        <f>'P&amp;L'!BW32/('Balance sheet'!AZ54-'P&amp;L'!BW32)</f>
        <v>1.064397569170682E-2</v>
      </c>
    </row>
    <row r="8" spans="1:78" s="4" customFormat="1" ht="24" customHeight="1">
      <c r="A8" s="4" t="s">
        <v>597</v>
      </c>
      <c r="B8" s="4" t="s">
        <v>598</v>
      </c>
      <c r="C8" s="469">
        <v>0.6</v>
      </c>
      <c r="D8" s="469">
        <v>1.1000000000000001</v>
      </c>
      <c r="E8" s="469">
        <v>1.4</v>
      </c>
      <c r="F8" s="469">
        <v>1</v>
      </c>
      <c r="G8" s="470">
        <v>1.2</v>
      </c>
      <c r="H8" s="470">
        <v>0.9</v>
      </c>
      <c r="I8" s="470">
        <v>1</v>
      </c>
      <c r="J8" s="470">
        <v>0.9</v>
      </c>
      <c r="K8" s="469">
        <v>0.9</v>
      </c>
      <c r="L8" s="470">
        <v>0.99222253558666473</v>
      </c>
      <c r="M8" s="470">
        <v>1.1972812574503593</v>
      </c>
      <c r="N8" s="470">
        <v>1.1937547068795404</v>
      </c>
      <c r="O8" s="470">
        <v>1.1052998425278158</v>
      </c>
      <c r="P8" s="469">
        <v>1.1000000000000001</v>
      </c>
      <c r="Q8" s="470">
        <v>1.2520302028925108</v>
      </c>
      <c r="R8" s="470">
        <v>1.13470796163891</v>
      </c>
      <c r="S8" s="470">
        <v>1.0480052530350539</v>
      </c>
      <c r="T8" s="470">
        <v>1.0172641031890362</v>
      </c>
      <c r="U8" s="469">
        <v>1.0172641031890362</v>
      </c>
      <c r="V8" s="470">
        <v>1.1953668834873901</v>
      </c>
      <c r="W8" s="470">
        <v>1.1434662606816619</v>
      </c>
      <c r="X8" s="470">
        <v>1.2291320432164132</v>
      </c>
      <c r="Y8" s="470">
        <v>1.2518939180227138</v>
      </c>
      <c r="Z8" s="469">
        <v>1.2518939180227138</v>
      </c>
      <c r="AA8" s="470">
        <v>1.3919076872487033</v>
      </c>
      <c r="AB8" s="470">
        <v>1.1114925821972736</v>
      </c>
      <c r="AC8" s="470">
        <v>0.94501659921971548</v>
      </c>
      <c r="AD8" s="470">
        <v>0.95569502090756708</v>
      </c>
      <c r="AE8" s="469">
        <v>0.95569502090756708</v>
      </c>
      <c r="AF8" s="470">
        <v>0.95351583208829338</v>
      </c>
      <c r="AG8" s="470">
        <v>1.0069261213720315</v>
      </c>
      <c r="AH8" s="470">
        <v>0.47434112256006483</v>
      </c>
      <c r="AI8" s="470">
        <v>0.49948621035847135</v>
      </c>
      <c r="AJ8" s="469">
        <v>0.49948621035847135</v>
      </c>
      <c r="AK8" s="470">
        <v>0.92874645654158483</v>
      </c>
      <c r="AL8" s="470">
        <v>0.9143403550836332</v>
      </c>
      <c r="AM8" s="470">
        <v>0.99730487345250907</v>
      </c>
      <c r="AN8" s="470">
        <v>1.0242312289470821</v>
      </c>
      <c r="AO8" s="469">
        <v>1.0242312289470821</v>
      </c>
      <c r="AP8" s="470">
        <v>0.89580852038479164</v>
      </c>
      <c r="AQ8" s="470">
        <v>0.89208350653549495</v>
      </c>
      <c r="AR8" s="470">
        <v>0.91086116341294232</v>
      </c>
      <c r="AS8" s="470">
        <v>1.0040863235857489</v>
      </c>
      <c r="AT8" s="469">
        <v>1.0040863235857489</v>
      </c>
      <c r="AU8" s="470">
        <v>1.490674318507891</v>
      </c>
      <c r="AV8" s="470">
        <v>1.1393504531722054</v>
      </c>
      <c r="AW8" s="470">
        <v>1.1493006613900034</v>
      </c>
      <c r="AX8" s="470">
        <v>1.0805204638743873</v>
      </c>
      <c r="AY8" s="469">
        <v>1.0805204638743873</v>
      </c>
      <c r="AZ8" s="470">
        <v>1.0288783163318305</v>
      </c>
      <c r="BA8" s="470">
        <v>0.90459880771651757</v>
      </c>
      <c r="BB8" s="470">
        <v>0.8907010624311551</v>
      </c>
      <c r="BC8" s="470">
        <v>0.8494768412801198</v>
      </c>
      <c r="BD8" s="469">
        <v>0.8494768412801198</v>
      </c>
      <c r="BE8" s="470">
        <v>1.0446639929570576</v>
      </c>
      <c r="BF8" s="470">
        <v>1.4179311763798159</v>
      </c>
      <c r="BG8" s="470">
        <v>1.1340274796049807</v>
      </c>
      <c r="BH8" s="470">
        <v>1.0005308660700745</v>
      </c>
      <c r="BI8" s="469">
        <v>1.0005308660700745</v>
      </c>
      <c r="BJ8" s="470">
        <f>'Balance sheet'!AM37/'Balance sheet'!AM76</f>
        <v>1.2774572249281877</v>
      </c>
      <c r="BK8" s="470">
        <f>'Balance sheet'!AN37/'Balance sheet'!AN76</f>
        <v>1.0301228183581126</v>
      </c>
      <c r="BL8" s="470">
        <f>'Balance sheet'!AO37/'Balance sheet'!AO76</f>
        <v>1.7694467309501412</v>
      </c>
      <c r="BM8" s="470">
        <f>'Balance sheet'!AP37/'Balance sheet'!AP76</f>
        <v>1.4356326537866806</v>
      </c>
      <c r="BN8" s="469">
        <f>'Balance sheet'!AP37/'Balance sheet'!AP76</f>
        <v>1.4356326537866806</v>
      </c>
      <c r="BO8" s="470">
        <f>'Balance sheet'!AQ37/'Balance sheet'!AQ76</f>
        <v>1.4459542259866642</v>
      </c>
      <c r="BP8" s="470">
        <f>'Balance sheet'!AR37/'Balance sheet'!AR76</f>
        <v>1.0795776506819179</v>
      </c>
      <c r="BQ8" s="470">
        <f>'Balance sheet'!AS37/'Balance sheet'!AS76</f>
        <v>1.2105886363228622</v>
      </c>
      <c r="BR8" s="470">
        <f>'Balance sheet'!AT37/'Balance sheet'!AT76</f>
        <v>1.0139658612281091</v>
      </c>
      <c r="BS8" s="469">
        <f>'Balance sheet'!AT37/'Balance sheet'!AT76</f>
        <v>1.0139658612281091</v>
      </c>
      <c r="BT8" s="470">
        <f>'Balance sheet'!AU37/'Balance sheet'!AU76</f>
        <v>1.1551395360405923</v>
      </c>
      <c r="BU8" s="470">
        <f>'Balance sheet'!AV37/'Balance sheet'!AV76</f>
        <v>1.5649167096303938</v>
      </c>
      <c r="BV8" s="470">
        <f>'Balance sheet'!AW37/'Balance sheet'!AW76</f>
        <v>1.4882702070659974</v>
      </c>
      <c r="BW8" s="470">
        <f>'Balance sheet'!AX37/'Balance sheet'!AX76</f>
        <v>1.6351027956053521</v>
      </c>
      <c r="BX8" s="469">
        <f>'Balance sheet'!AX37/'Balance sheet'!AX76</f>
        <v>1.6351027956053521</v>
      </c>
      <c r="BY8" s="470">
        <f>'Balance sheet'!AY37/'Balance sheet'!AY76</f>
        <v>1.6367324074252931</v>
      </c>
      <c r="BZ8" s="470">
        <f>'Balance sheet'!AZ37/'Balance sheet'!AZ76</f>
        <v>1.6487937684337894</v>
      </c>
    </row>
    <row r="9" spans="1:78" s="4" customFormat="1" ht="24" customHeight="1">
      <c r="A9" s="484" t="s">
        <v>599</v>
      </c>
      <c r="B9" s="484" t="s">
        <v>600</v>
      </c>
      <c r="C9" s="485">
        <v>1.177</v>
      </c>
      <c r="D9" s="485">
        <v>0.89700000000000002</v>
      </c>
      <c r="E9" s="485">
        <v>0.61299999999999999</v>
      </c>
      <c r="F9" s="485">
        <v>0.58399999999999996</v>
      </c>
      <c r="G9" s="486">
        <v>0.52300000000000002</v>
      </c>
      <c r="H9" s="486">
        <v>0.65900000000000003</v>
      </c>
      <c r="I9" s="486">
        <v>0.60299999999999998</v>
      </c>
      <c r="J9" s="486">
        <v>0.57799999999999996</v>
      </c>
      <c r="K9" s="485">
        <v>0.57799999999999996</v>
      </c>
      <c r="L9" s="486">
        <v>0.58891930091111089</v>
      </c>
      <c r="M9" s="486">
        <v>0.64356702219385198</v>
      </c>
      <c r="N9" s="486">
        <v>0.66091379189163646</v>
      </c>
      <c r="O9" s="486">
        <v>0.64550322816584982</v>
      </c>
      <c r="P9" s="485">
        <v>0.64600000000000002</v>
      </c>
      <c r="Q9" s="486">
        <v>0.6200507963830475</v>
      </c>
      <c r="R9" s="486">
        <v>0.60836960799428208</v>
      </c>
      <c r="S9" s="486">
        <v>0.57298843092335383</v>
      </c>
      <c r="T9" s="486">
        <v>0.55614999608907556</v>
      </c>
      <c r="U9" s="485">
        <v>0.55614999608907556</v>
      </c>
      <c r="V9" s="486">
        <v>0.54486547055728474</v>
      </c>
      <c r="W9" s="486">
        <v>0.52665229914601286</v>
      </c>
      <c r="X9" s="486">
        <v>0.49525051978561557</v>
      </c>
      <c r="Y9" s="486">
        <v>0.47126649202023174</v>
      </c>
      <c r="Z9" s="485">
        <v>0.47126649202023174</v>
      </c>
      <c r="AA9" s="486">
        <v>0.46876671667355413</v>
      </c>
      <c r="AB9" s="486">
        <v>0.67327892593910244</v>
      </c>
      <c r="AC9" s="486">
        <v>0.66774740549903211</v>
      </c>
      <c r="AD9" s="486">
        <v>0.66793699017975172</v>
      </c>
      <c r="AE9" s="485">
        <v>0.66793699017975172</v>
      </c>
      <c r="AF9" s="486">
        <v>0.65624665453377584</v>
      </c>
      <c r="AG9" s="486">
        <v>0.64785681126528083</v>
      </c>
      <c r="AH9" s="486">
        <v>0.61520071910800012</v>
      </c>
      <c r="AI9" s="486">
        <v>0.61305921834949684</v>
      </c>
      <c r="AJ9" s="485">
        <v>0.61305921834949684</v>
      </c>
      <c r="AK9" s="486">
        <v>0.63304473558921559</v>
      </c>
      <c r="AL9" s="486">
        <v>0.60981976788452963</v>
      </c>
      <c r="AM9" s="486">
        <v>0.59868152930210516</v>
      </c>
      <c r="AN9" s="486">
        <v>0.58969032755965733</v>
      </c>
      <c r="AO9" s="485">
        <v>0.58969032755965733</v>
      </c>
      <c r="AP9" s="486">
        <v>0.57724329660438722</v>
      </c>
      <c r="AQ9" s="486">
        <v>0.57078429578109258</v>
      </c>
      <c r="AR9" s="486">
        <v>0.55527171043335344</v>
      </c>
      <c r="AS9" s="486">
        <v>0.56345294711053473</v>
      </c>
      <c r="AT9" s="485">
        <v>0.56345294711053473</v>
      </c>
      <c r="AU9" s="486">
        <v>0.53736233796030752</v>
      </c>
      <c r="AV9" s="486">
        <v>0.54778902647252581</v>
      </c>
      <c r="AW9" s="486">
        <v>0.54988764710333504</v>
      </c>
      <c r="AX9" s="486">
        <v>0.54799197310468839</v>
      </c>
      <c r="AY9" s="485">
        <v>0.54799197310468839</v>
      </c>
      <c r="AZ9" s="486">
        <v>0.5495585402907468</v>
      </c>
      <c r="BA9" s="486">
        <v>0.55615895813668714</v>
      </c>
      <c r="BB9" s="486">
        <v>0.54743795100023351</v>
      </c>
      <c r="BC9" s="486">
        <v>0.5561620885190367</v>
      </c>
      <c r="BD9" s="485">
        <v>0.5561620885190367</v>
      </c>
      <c r="BE9" s="486">
        <v>0.55172741107270029</v>
      </c>
      <c r="BF9" s="486">
        <v>0.54209939061024826</v>
      </c>
      <c r="BG9" s="486">
        <v>0.55374976001170229</v>
      </c>
      <c r="BH9" s="486">
        <v>0.56436056167899751</v>
      </c>
      <c r="BI9" s="485">
        <v>0.56436056167899751</v>
      </c>
      <c r="BJ9" s="486">
        <f>'Balance sheet'!AM79/'Balance sheet'!AM40</f>
        <v>0.53371163270570032</v>
      </c>
      <c r="BK9" s="486">
        <f>'Balance sheet'!AN79/'Balance sheet'!AN40</f>
        <v>0.54552385465171038</v>
      </c>
      <c r="BL9" s="486">
        <f>'Balance sheet'!AO79/'Balance sheet'!AO40</f>
        <v>0.51333151687361345</v>
      </c>
      <c r="BM9" s="486">
        <f>'Balance sheet'!AP79/'Balance sheet'!AP40</f>
        <v>0.52276576604522751</v>
      </c>
      <c r="BN9" s="485">
        <f>'Balance sheet'!AP79/'Balance sheet'!AP40</f>
        <v>0.52276576604522751</v>
      </c>
      <c r="BO9" s="486">
        <f>'Balance sheet'!AQ79/'Balance sheet'!AQ40</f>
        <v>0.51068185808522926</v>
      </c>
      <c r="BP9" s="486">
        <f>'Balance sheet'!AR79/'Balance sheet'!AR40</f>
        <v>0.51515684918589311</v>
      </c>
      <c r="BQ9" s="486">
        <f>'Balance sheet'!AS79/'Balance sheet'!AS40</f>
        <v>0.50595211795671313</v>
      </c>
      <c r="BR9" s="486">
        <f>'Balance sheet'!AT79/'Balance sheet'!AT40</f>
        <v>0.51060154890951082</v>
      </c>
      <c r="BS9" s="485">
        <f>'Balance sheet'!AT79/'Balance sheet'!AT40</f>
        <v>0.51060154890951082</v>
      </c>
      <c r="BT9" s="486">
        <f>'Balance sheet'!AU79/'Balance sheet'!AU40</f>
        <v>0.51632399285596731</v>
      </c>
      <c r="BU9" s="486">
        <f>'Balance sheet'!AV79/'Balance sheet'!AV40</f>
        <v>0.54311413140587805</v>
      </c>
      <c r="BV9" s="486">
        <f>'Balance sheet'!AW79/'Balance sheet'!AW40</f>
        <v>0.57132134786238553</v>
      </c>
      <c r="BW9" s="486">
        <f>'Balance sheet'!AX79/'Balance sheet'!AX40</f>
        <v>0.56141346596120678</v>
      </c>
      <c r="BX9" s="485">
        <f>'Balance sheet'!AX79/'Balance sheet'!AX40</f>
        <v>0.56141346596120678</v>
      </c>
      <c r="BY9" s="486">
        <f>'Balance sheet'!AY79/'Balance sheet'!AY40</f>
        <v>0.54902969051298534</v>
      </c>
      <c r="BZ9" s="486">
        <f>'Balance sheet'!AZ79/'Balance sheet'!AZ40</f>
        <v>0.546900109035242</v>
      </c>
    </row>
    <row r="13" spans="1:78" s="472" customFormat="1" ht="13.5">
      <c r="A13" s="471" t="s">
        <v>601</v>
      </c>
      <c r="B13" s="471" t="s">
        <v>602</v>
      </c>
    </row>
    <row r="14" spans="1:78" s="472" customFormat="1" ht="13.5">
      <c r="A14" s="471" t="s">
        <v>603</v>
      </c>
      <c r="B14" s="471" t="s">
        <v>604</v>
      </c>
    </row>
    <row r="15" spans="1:78" s="472" customFormat="1" ht="13.5">
      <c r="A15" s="471" t="s">
        <v>605</v>
      </c>
      <c r="B15" s="471" t="s">
        <v>606</v>
      </c>
    </row>
    <row r="16" spans="1:78" s="472" customFormat="1" ht="13.5">
      <c r="A16" s="471" t="s">
        <v>607</v>
      </c>
      <c r="B16" s="471" t="s">
        <v>608</v>
      </c>
    </row>
    <row r="17" spans="1:2" s="472" customFormat="1" ht="13.5">
      <c r="A17" s="471" t="s">
        <v>609</v>
      </c>
      <c r="B17" s="471" t="s">
        <v>610</v>
      </c>
    </row>
    <row r="18" spans="1:2" s="472" customFormat="1" ht="13.5">
      <c r="A18" s="471" t="s">
        <v>611</v>
      </c>
      <c r="B18" s="471" t="s">
        <v>612</v>
      </c>
    </row>
    <row r="19" spans="1:2" s="472" customFormat="1" ht="13.5">
      <c r="A19" s="471" t="s">
        <v>613</v>
      </c>
      <c r="B19" s="471" t="s">
        <v>614</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zoomScale="85" zoomScaleNormal="85" zoomScaleSheetLayoutView="85" workbookViewId="0">
      <pane xSplit="1" topLeftCell="S1" activePane="topRight" state="frozen"/>
      <selection pane="topRight" activeCell="AB25" sqref="AB25"/>
    </sheetView>
  </sheetViews>
  <sheetFormatPr defaultColWidth="9" defaultRowHeight="28.5" customHeight="1"/>
  <cols>
    <col min="1" max="2" width="40.58203125" style="600" customWidth="1"/>
    <col min="3" max="5" width="9" style="600"/>
    <col min="6" max="6" width="10.58203125" style="600" customWidth="1"/>
    <col min="7" max="16384" width="9" style="600"/>
  </cols>
  <sheetData>
    <row r="1" spans="1:36" s="580" customFormat="1" ht="89.25" customHeight="1">
      <c r="A1" s="579"/>
      <c r="B1" s="579"/>
      <c r="H1" s="581"/>
      <c r="I1" s="581"/>
      <c r="L1" s="581"/>
      <c r="M1" s="581"/>
      <c r="P1" s="581"/>
      <c r="Q1" s="581"/>
      <c r="T1" s="581"/>
      <c r="U1" s="581"/>
      <c r="V1" s="776"/>
      <c r="X1" s="581"/>
      <c r="Y1" s="581"/>
      <c r="Z1" s="776"/>
      <c r="AB1" s="581"/>
      <c r="AC1" s="581"/>
      <c r="AD1" s="776"/>
    </row>
    <row r="2" spans="1:36" s="583" customFormat="1" ht="12">
      <c r="A2" s="1004"/>
      <c r="B2" s="1004"/>
      <c r="C2" s="582"/>
      <c r="D2" s="582"/>
      <c r="E2" s="582"/>
      <c r="F2" s="582"/>
      <c r="G2" s="582"/>
      <c r="H2" s="582"/>
      <c r="I2" s="582"/>
      <c r="J2" s="582"/>
      <c r="K2" s="582"/>
      <c r="L2" s="582"/>
      <c r="M2" s="582"/>
      <c r="N2" s="582"/>
      <c r="O2" s="582"/>
      <c r="P2" s="582"/>
      <c r="Q2" s="582"/>
      <c r="S2" s="582"/>
      <c r="T2" s="582"/>
      <c r="U2" s="582"/>
      <c r="W2" s="582"/>
      <c r="X2" s="845"/>
      <c r="Y2" s="582"/>
      <c r="AA2" s="582"/>
      <c r="AB2" s="845"/>
      <c r="AC2" s="582"/>
    </row>
    <row r="3" spans="1:36" s="585" customFormat="1" ht="20.149999999999999" customHeight="1">
      <c r="A3" s="584" t="s">
        <v>615</v>
      </c>
      <c r="B3" s="584" t="s">
        <v>616</v>
      </c>
      <c r="C3" s="1002">
        <v>2018</v>
      </c>
      <c r="D3" s="1002"/>
      <c r="E3" s="1002"/>
      <c r="F3" s="1002"/>
      <c r="G3" s="1001">
        <v>2019</v>
      </c>
      <c r="H3" s="1002"/>
      <c r="I3" s="1002"/>
      <c r="J3" s="1003"/>
      <c r="K3" s="1002">
        <v>2020</v>
      </c>
      <c r="L3" s="1002"/>
      <c r="M3" s="1002"/>
      <c r="N3" s="1002"/>
      <c r="O3" s="1001">
        <v>2021</v>
      </c>
      <c r="P3" s="1002"/>
      <c r="Q3" s="1002"/>
      <c r="R3" s="1003"/>
      <c r="S3" s="1001">
        <v>2022</v>
      </c>
      <c r="T3" s="1002"/>
      <c r="U3" s="1002"/>
      <c r="V3" s="1003"/>
      <c r="W3" s="1001">
        <v>2023</v>
      </c>
      <c r="X3" s="1002"/>
      <c r="Y3" s="1002"/>
      <c r="Z3" s="1003"/>
      <c r="AA3" s="1001">
        <v>2024</v>
      </c>
      <c r="AB3" s="1002"/>
      <c r="AC3" s="1002"/>
      <c r="AD3" s="1003"/>
    </row>
    <row r="4" spans="1:36" s="585" customFormat="1" ht="21.75" customHeight="1">
      <c r="A4" s="584"/>
      <c r="B4" s="584"/>
      <c r="C4" s="586" t="s">
        <v>617</v>
      </c>
      <c r="D4" s="586" t="s">
        <v>618</v>
      </c>
      <c r="E4" s="586" t="s">
        <v>619</v>
      </c>
      <c r="F4" s="586" t="s">
        <v>620</v>
      </c>
      <c r="G4" s="587" t="str">
        <f t="shared" ref="G4:R4" si="0">C4</f>
        <v>1Q</v>
      </c>
      <c r="H4" s="586" t="str">
        <f t="shared" si="0"/>
        <v>2Q</v>
      </c>
      <c r="I4" s="586" t="str">
        <f t="shared" si="0"/>
        <v>3Q</v>
      </c>
      <c r="J4" s="588" t="str">
        <f t="shared" si="0"/>
        <v>4Q</v>
      </c>
      <c r="K4" s="586" t="str">
        <f t="shared" si="0"/>
        <v>1Q</v>
      </c>
      <c r="L4" s="586" t="str">
        <f t="shared" si="0"/>
        <v>2Q</v>
      </c>
      <c r="M4" s="586" t="str">
        <f t="shared" si="0"/>
        <v>3Q</v>
      </c>
      <c r="N4" s="586" t="str">
        <f t="shared" si="0"/>
        <v>4Q</v>
      </c>
      <c r="O4" s="587" t="str">
        <f t="shared" si="0"/>
        <v>1Q</v>
      </c>
      <c r="P4" s="586" t="str">
        <f t="shared" si="0"/>
        <v>2Q</v>
      </c>
      <c r="Q4" s="586" t="str">
        <f t="shared" si="0"/>
        <v>3Q</v>
      </c>
      <c r="R4" s="588" t="str">
        <f t="shared" si="0"/>
        <v>4Q</v>
      </c>
      <c r="S4" s="587" t="str">
        <f t="shared" ref="S4" si="1">O4</f>
        <v>1Q</v>
      </c>
      <c r="T4" s="586" t="str">
        <f t="shared" ref="T4" si="2">P4</f>
        <v>2Q</v>
      </c>
      <c r="U4" s="586" t="str">
        <f t="shared" ref="U4" si="3">Q4</f>
        <v>3Q</v>
      </c>
      <c r="V4" s="588" t="str">
        <f t="shared" ref="V4" si="4">R4</f>
        <v>4Q</v>
      </c>
      <c r="W4" s="587" t="str">
        <f t="shared" ref="W4" si="5">S4</f>
        <v>1Q</v>
      </c>
      <c r="X4" s="586" t="str">
        <f t="shared" ref="X4" si="6">T4</f>
        <v>2Q</v>
      </c>
      <c r="Y4" s="586" t="str">
        <f t="shared" ref="Y4" si="7">U4</f>
        <v>3Q</v>
      </c>
      <c r="Z4" s="588" t="str">
        <f t="shared" ref="Z4" si="8">V4</f>
        <v>4Q</v>
      </c>
      <c r="AA4" s="587" t="str">
        <f t="shared" ref="AA4" si="9">W4</f>
        <v>1Q</v>
      </c>
      <c r="AB4" s="586" t="str">
        <f t="shared" ref="AB4" si="10">X4</f>
        <v>2Q</v>
      </c>
      <c r="AC4" s="586" t="str">
        <f t="shared" ref="AC4" si="11">Y4</f>
        <v>3Q</v>
      </c>
      <c r="AD4" s="588" t="str">
        <f t="shared" ref="AD4" si="12">Z4</f>
        <v>4Q</v>
      </c>
    </row>
    <row r="5" spans="1:36" s="593" customFormat="1" ht="20.149999999999999" customHeight="1">
      <c r="A5" s="589" t="s">
        <v>621</v>
      </c>
      <c r="B5" s="589" t="s">
        <v>622</v>
      </c>
      <c r="C5" s="590"/>
      <c r="D5" s="590"/>
      <c r="E5" s="590"/>
      <c r="F5" s="590"/>
      <c r="G5" s="591"/>
      <c r="H5" s="590"/>
      <c r="I5" s="590"/>
      <c r="J5" s="590"/>
      <c r="K5" s="592"/>
      <c r="L5" s="590"/>
      <c r="M5" s="590"/>
      <c r="N5" s="590"/>
      <c r="O5" s="591"/>
      <c r="P5" s="590"/>
      <c r="Q5" s="590"/>
      <c r="R5" s="680"/>
      <c r="S5" s="591"/>
      <c r="T5" s="590"/>
      <c r="U5" s="590"/>
      <c r="V5" s="680"/>
      <c r="W5" s="591"/>
      <c r="X5" s="590"/>
      <c r="Y5" s="590"/>
      <c r="Z5" s="680"/>
      <c r="AA5" s="591"/>
      <c r="AB5" s="590"/>
      <c r="AC5" s="590"/>
      <c r="AD5" s="680"/>
    </row>
    <row r="6" spans="1:36" ht="20.149999999999999" customHeight="1">
      <c r="A6" s="594" t="s">
        <v>623</v>
      </c>
      <c r="B6" s="595" t="s">
        <v>624</v>
      </c>
      <c r="C6" s="596">
        <f t="shared" ref="C6:R6" si="13">SUM(C7:C9)</f>
        <v>12361.7</v>
      </c>
      <c r="D6" s="596">
        <f t="shared" si="13"/>
        <v>12435.4</v>
      </c>
      <c r="E6" s="596">
        <f t="shared" si="13"/>
        <v>12508</v>
      </c>
      <c r="F6" s="596">
        <f t="shared" si="13"/>
        <v>12646.4</v>
      </c>
      <c r="G6" s="597">
        <f t="shared" si="13"/>
        <v>12677.4</v>
      </c>
      <c r="H6" s="596">
        <f t="shared" si="13"/>
        <v>12715.1</v>
      </c>
      <c r="I6" s="596">
        <f t="shared" si="13"/>
        <v>12793.1</v>
      </c>
      <c r="J6" s="596">
        <f t="shared" si="13"/>
        <v>12901.7</v>
      </c>
      <c r="K6" s="598">
        <f t="shared" si="13"/>
        <v>12907.6</v>
      </c>
      <c r="L6" s="596">
        <f t="shared" si="13"/>
        <v>12984.099999999999</v>
      </c>
      <c r="M6" s="596">
        <f t="shared" si="13"/>
        <v>13084</v>
      </c>
      <c r="N6" s="596">
        <f>SUM(N7:N9)</f>
        <v>13169.3</v>
      </c>
      <c r="O6" s="597">
        <f t="shared" si="13"/>
        <v>13172</v>
      </c>
      <c r="P6" s="596">
        <f t="shared" si="13"/>
        <v>13188</v>
      </c>
      <c r="Q6" s="596">
        <f t="shared" si="13"/>
        <v>13494</v>
      </c>
      <c r="R6" s="681">
        <f t="shared" si="13"/>
        <v>13465</v>
      </c>
      <c r="S6" s="597">
        <f t="shared" ref="S6:U6" si="14">SUM(S7:S9)</f>
        <v>13379</v>
      </c>
      <c r="T6" s="596">
        <f t="shared" si="14"/>
        <v>13349</v>
      </c>
      <c r="U6" s="596">
        <f t="shared" si="14"/>
        <v>13341</v>
      </c>
      <c r="V6" s="681">
        <f>SUM(V7:V9)</f>
        <v>13285</v>
      </c>
      <c r="W6" s="597">
        <f t="shared" ref="W6:AB6" si="15">SUM(W7:W9)</f>
        <v>13163</v>
      </c>
      <c r="X6" s="596">
        <f t="shared" si="15"/>
        <v>13083</v>
      </c>
      <c r="Y6" s="596">
        <f t="shared" si="15"/>
        <v>13054</v>
      </c>
      <c r="Z6" s="681">
        <f>SUM(Z7:Z9)</f>
        <v>13083</v>
      </c>
      <c r="AA6" s="597">
        <f t="shared" si="15"/>
        <v>13077</v>
      </c>
      <c r="AB6" s="596">
        <f t="shared" si="15"/>
        <v>13086</v>
      </c>
      <c r="AC6" s="596"/>
      <c r="AD6" s="681"/>
      <c r="AE6" s="920"/>
      <c r="AF6" s="920"/>
      <c r="AG6" s="920"/>
      <c r="AH6" s="920"/>
      <c r="AI6" s="920"/>
      <c r="AJ6" s="920"/>
    </row>
    <row r="7" spans="1:36" ht="20.149999999999999" customHeight="1">
      <c r="A7" s="601" t="s">
        <v>625</v>
      </c>
      <c r="B7" s="601" t="s">
        <v>626</v>
      </c>
      <c r="C7" s="602">
        <v>5220.5</v>
      </c>
      <c r="D7" s="602">
        <v>5270</v>
      </c>
      <c r="E7" s="602">
        <v>5288.3</v>
      </c>
      <c r="F7" s="602">
        <v>5358.7</v>
      </c>
      <c r="G7" s="603">
        <v>5345.9</v>
      </c>
      <c r="H7" s="602">
        <v>5334.3</v>
      </c>
      <c r="I7" s="602">
        <v>5317.8</v>
      </c>
      <c r="J7" s="604">
        <v>5336</v>
      </c>
      <c r="K7" s="602">
        <v>5300.7</v>
      </c>
      <c r="L7" s="602">
        <v>5319.4</v>
      </c>
      <c r="M7" s="602">
        <v>5339.7</v>
      </c>
      <c r="N7" s="602">
        <v>5355.3</v>
      </c>
      <c r="O7" s="603">
        <v>5344</v>
      </c>
      <c r="P7" s="602">
        <v>5332</v>
      </c>
      <c r="Q7" s="602">
        <v>5306</v>
      </c>
      <c r="R7" s="682">
        <v>5264</v>
      </c>
      <c r="S7" s="603">
        <v>5177</v>
      </c>
      <c r="T7" s="602">
        <v>5117</v>
      </c>
      <c r="U7" s="602">
        <v>5106</v>
      </c>
      <c r="V7" s="686">
        <v>5049</v>
      </c>
      <c r="W7" s="603">
        <v>4951</v>
      </c>
      <c r="X7" s="602">
        <v>4895</v>
      </c>
      <c r="Y7" s="866">
        <v>4863</v>
      </c>
      <c r="Z7" s="686">
        <v>4843</v>
      </c>
      <c r="AA7" s="603">
        <v>4804</v>
      </c>
      <c r="AB7" s="602">
        <v>4749</v>
      </c>
      <c r="AC7" s="602"/>
      <c r="AD7" s="686"/>
      <c r="AE7" s="920"/>
      <c r="AF7" s="920"/>
      <c r="AG7" s="920"/>
      <c r="AH7" s="920"/>
      <c r="AI7" s="920"/>
      <c r="AJ7" s="920"/>
    </row>
    <row r="8" spans="1:36" ht="20.149999999999999" customHeight="1">
      <c r="A8" s="601" t="s">
        <v>627</v>
      </c>
      <c r="B8" s="601" t="s">
        <v>628</v>
      </c>
      <c r="C8" s="602">
        <v>5109</v>
      </c>
      <c r="D8" s="602">
        <v>5150.6000000000004</v>
      </c>
      <c r="E8" s="602">
        <v>5212.2</v>
      </c>
      <c r="F8" s="602">
        <v>5271.2</v>
      </c>
      <c r="G8" s="603">
        <v>5334.6</v>
      </c>
      <c r="H8" s="602">
        <v>5396.4</v>
      </c>
      <c r="I8" s="602">
        <v>5494.2</v>
      </c>
      <c r="J8" s="604">
        <v>5578.1</v>
      </c>
      <c r="K8" s="602">
        <v>5628.3</v>
      </c>
      <c r="L8" s="602">
        <v>5683.4</v>
      </c>
      <c r="M8" s="602">
        <v>5760.6</v>
      </c>
      <c r="N8" s="602">
        <v>5810.2</v>
      </c>
      <c r="O8" s="603">
        <v>5832</v>
      </c>
      <c r="P8" s="602">
        <v>5864</v>
      </c>
      <c r="Q8" s="602">
        <v>6182</v>
      </c>
      <c r="R8" s="682">
        <v>6195</v>
      </c>
      <c r="S8" s="603">
        <v>6205</v>
      </c>
      <c r="T8" s="602">
        <v>6230</v>
      </c>
      <c r="U8" s="602">
        <v>6232</v>
      </c>
      <c r="V8" s="686">
        <v>6238</v>
      </c>
      <c r="W8" s="603">
        <v>6232</v>
      </c>
      <c r="X8" s="602">
        <v>6218</v>
      </c>
      <c r="Y8" s="866">
        <v>6213</v>
      </c>
      <c r="Z8" s="686">
        <v>6246</v>
      </c>
      <c r="AA8" s="603">
        <v>6273</v>
      </c>
      <c r="AB8" s="602">
        <v>6317</v>
      </c>
      <c r="AC8" s="602"/>
      <c r="AD8" s="686"/>
      <c r="AE8" s="920"/>
      <c r="AF8" s="920"/>
      <c r="AG8" s="920"/>
      <c r="AH8" s="920"/>
      <c r="AI8" s="920"/>
      <c r="AJ8" s="920"/>
    </row>
    <row r="9" spans="1:36" ht="20.149999999999999" customHeight="1">
      <c r="A9" s="601" t="s">
        <v>629</v>
      </c>
      <c r="B9" s="601" t="s">
        <v>630</v>
      </c>
      <c r="C9" s="602">
        <v>2032.2</v>
      </c>
      <c r="D9" s="602">
        <v>2014.8</v>
      </c>
      <c r="E9" s="602">
        <v>2007.5</v>
      </c>
      <c r="F9" s="602">
        <v>2016.5</v>
      </c>
      <c r="G9" s="603">
        <v>1996.9</v>
      </c>
      <c r="H9" s="602">
        <v>1984.4</v>
      </c>
      <c r="I9" s="602">
        <v>1981.1</v>
      </c>
      <c r="J9" s="604">
        <v>1987.6</v>
      </c>
      <c r="K9" s="602">
        <v>1978.6</v>
      </c>
      <c r="L9" s="602">
        <v>1981.3</v>
      </c>
      <c r="M9" s="602">
        <v>1983.7</v>
      </c>
      <c r="N9" s="602">
        <v>2003.8</v>
      </c>
      <c r="O9" s="603">
        <v>1996</v>
      </c>
      <c r="P9" s="602">
        <v>1992</v>
      </c>
      <c r="Q9" s="602">
        <v>2006</v>
      </c>
      <c r="R9" s="682">
        <v>2006</v>
      </c>
      <c r="S9" s="603">
        <v>1997</v>
      </c>
      <c r="T9" s="602">
        <v>2002</v>
      </c>
      <c r="U9" s="602">
        <v>2003</v>
      </c>
      <c r="V9" s="686">
        <v>1998</v>
      </c>
      <c r="W9" s="603">
        <v>1980</v>
      </c>
      <c r="X9" s="602">
        <v>1970</v>
      </c>
      <c r="Y9" s="866">
        <v>1978</v>
      </c>
      <c r="Z9" s="686">
        <v>1994</v>
      </c>
      <c r="AA9" s="603">
        <v>2000</v>
      </c>
      <c r="AB9" s="602">
        <v>2020</v>
      </c>
      <c r="AC9" s="602"/>
      <c r="AD9" s="686"/>
      <c r="AE9" s="920"/>
      <c r="AF9" s="920"/>
      <c r="AG9" s="920"/>
      <c r="AH9" s="920"/>
      <c r="AI9" s="920"/>
      <c r="AJ9" s="920"/>
    </row>
    <row r="10" spans="1:36" s="605" customFormat="1" ht="20.149999999999999" customHeight="1">
      <c r="A10" s="594" t="s">
        <v>631</v>
      </c>
      <c r="B10" s="595" t="s">
        <v>632</v>
      </c>
      <c r="C10" s="596">
        <v>6252</v>
      </c>
      <c r="D10" s="596">
        <v>6217</v>
      </c>
      <c r="E10" s="596">
        <v>6192</v>
      </c>
      <c r="F10" s="596">
        <v>6176.3</v>
      </c>
      <c r="G10" s="597">
        <v>6133.1</v>
      </c>
      <c r="H10" s="596">
        <v>6100.4</v>
      </c>
      <c r="I10" s="596">
        <v>6082.7</v>
      </c>
      <c r="J10" s="596">
        <v>6086.7</v>
      </c>
      <c r="K10" s="598">
        <v>6046.1</v>
      </c>
      <c r="L10" s="596">
        <v>6033</v>
      </c>
      <c r="M10" s="596">
        <v>6018.3</v>
      </c>
      <c r="N10" s="596">
        <v>6003.6</v>
      </c>
      <c r="O10" s="597">
        <v>5962</v>
      </c>
      <c r="P10" s="596">
        <v>5932</v>
      </c>
      <c r="Q10" s="596">
        <v>6069</v>
      </c>
      <c r="R10" s="681">
        <v>6047</v>
      </c>
      <c r="S10" s="597">
        <v>6012</v>
      </c>
      <c r="T10" s="596">
        <v>5990</v>
      </c>
      <c r="U10" s="596">
        <v>5967</v>
      </c>
      <c r="V10" s="681">
        <v>5934</v>
      </c>
      <c r="W10" s="915">
        <v>5887</v>
      </c>
      <c r="X10" s="916">
        <v>5848</v>
      </c>
      <c r="Y10" s="917">
        <v>5820</v>
      </c>
      <c r="Z10" s="681">
        <v>5795</v>
      </c>
      <c r="AA10" s="597">
        <v>5772</v>
      </c>
      <c r="AB10" s="596">
        <v>5758</v>
      </c>
      <c r="AC10" s="596"/>
      <c r="AD10" s="681"/>
      <c r="AE10" s="920"/>
      <c r="AF10" s="920"/>
      <c r="AG10" s="920"/>
      <c r="AH10" s="920"/>
      <c r="AI10" s="920"/>
      <c r="AJ10" s="920"/>
    </row>
    <row r="11" spans="1:36" s="611" customFormat="1" ht="20.149999999999999" customHeight="1">
      <c r="A11" s="606" t="s">
        <v>633</v>
      </c>
      <c r="B11" s="607" t="s">
        <v>634</v>
      </c>
      <c r="C11" s="608">
        <v>60.6</v>
      </c>
      <c r="D11" s="608">
        <v>61.3</v>
      </c>
      <c r="E11" s="608">
        <v>62.5</v>
      </c>
      <c r="F11" s="608">
        <v>62.6</v>
      </c>
      <c r="G11" s="609">
        <v>62</v>
      </c>
      <c r="H11" s="608">
        <v>62.2</v>
      </c>
      <c r="I11" s="608">
        <v>63.4</v>
      </c>
      <c r="J11" s="608">
        <v>63.8</v>
      </c>
      <c r="K11" s="610">
        <v>63.3</v>
      </c>
      <c r="L11" s="608">
        <v>63.3</v>
      </c>
      <c r="M11" s="608">
        <v>64.900000000000006</v>
      </c>
      <c r="N11" s="608">
        <v>66.2</v>
      </c>
      <c r="O11" s="609">
        <v>67.2</v>
      </c>
      <c r="P11" s="608">
        <v>67.8</v>
      </c>
      <c r="Q11" s="608">
        <v>68.599999999999994</v>
      </c>
      <c r="R11" s="683">
        <v>69.099999999999994</v>
      </c>
      <c r="S11" s="609">
        <v>69.8</v>
      </c>
      <c r="T11" s="608">
        <v>70.2</v>
      </c>
      <c r="U11" s="608">
        <v>71.3</v>
      </c>
      <c r="V11" s="683">
        <v>71.7</v>
      </c>
      <c r="W11" s="609">
        <v>71.400000000000006</v>
      </c>
      <c r="X11" s="608">
        <v>71.8</v>
      </c>
      <c r="Y11" s="608">
        <v>73.5</v>
      </c>
      <c r="Z11" s="683">
        <v>73.599999999999994</v>
      </c>
      <c r="AA11" s="609">
        <v>74.599999999999994</v>
      </c>
      <c r="AB11" s="608">
        <v>75.2</v>
      </c>
      <c r="AC11" s="608"/>
      <c r="AD11" s="683"/>
    </row>
    <row r="12" spans="1:36" s="611" customFormat="1" ht="20.149999999999999" customHeight="1">
      <c r="A12" s="606" t="s">
        <v>635</v>
      </c>
      <c r="B12" s="607" t="s">
        <v>636</v>
      </c>
      <c r="C12" s="608">
        <v>60.6</v>
      </c>
      <c r="D12" s="608">
        <v>60.9</v>
      </c>
      <c r="E12" s="608">
        <v>61.5</v>
      </c>
      <c r="F12" s="608">
        <v>61.8</v>
      </c>
      <c r="G12" s="609">
        <v>62</v>
      </c>
      <c r="H12" s="608">
        <v>62.1</v>
      </c>
      <c r="I12" s="608">
        <v>62.5</v>
      </c>
      <c r="J12" s="608">
        <v>62.9</v>
      </c>
      <c r="K12" s="610">
        <v>63.3</v>
      </c>
      <c r="L12" s="608">
        <v>63.3</v>
      </c>
      <c r="M12" s="608">
        <v>63.9</v>
      </c>
      <c r="N12" s="608">
        <v>64.5</v>
      </c>
      <c r="O12" s="609">
        <v>67.2</v>
      </c>
      <c r="P12" s="608">
        <v>67.5</v>
      </c>
      <c r="Q12" s="608">
        <v>67.900000000000006</v>
      </c>
      <c r="R12" s="683">
        <v>68.2</v>
      </c>
      <c r="S12" s="609">
        <v>69.8</v>
      </c>
      <c r="T12" s="608">
        <v>70</v>
      </c>
      <c r="U12" s="608">
        <v>70.400000000000006</v>
      </c>
      <c r="V12" s="683">
        <v>70.8</v>
      </c>
      <c r="W12" s="609">
        <v>71.400000000000006</v>
      </c>
      <c r="X12" s="608">
        <v>71.599999999999994</v>
      </c>
      <c r="Y12" s="608">
        <v>72.2</v>
      </c>
      <c r="Z12" s="923">
        <v>72.599999999999994</v>
      </c>
      <c r="AA12" s="609">
        <v>74.599999999999994</v>
      </c>
      <c r="AB12" s="608">
        <v>74.900000000000006</v>
      </c>
      <c r="AC12" s="608"/>
      <c r="AD12" s="683"/>
    </row>
    <row r="13" spans="1:36" ht="20.149999999999999" customHeight="1">
      <c r="A13" s="612" t="s">
        <v>637</v>
      </c>
      <c r="B13" s="612" t="s">
        <v>638</v>
      </c>
      <c r="C13" s="613" t="s">
        <v>639</v>
      </c>
      <c r="D13" s="613" t="s">
        <v>639</v>
      </c>
      <c r="E13" s="613" t="s">
        <v>639</v>
      </c>
      <c r="F13" s="613" t="s">
        <v>639</v>
      </c>
      <c r="G13" s="614">
        <v>7.9000000000000001E-2</v>
      </c>
      <c r="H13" s="613">
        <v>7.6999999999999999E-2</v>
      </c>
      <c r="I13" s="613">
        <v>7.3999999999999996E-2</v>
      </c>
      <c r="J13" s="613">
        <v>7.1999999999999995E-2</v>
      </c>
      <c r="K13" s="615">
        <v>7.1999999999999995E-2</v>
      </c>
      <c r="L13" s="613">
        <v>6.9000000000000006E-2</v>
      </c>
      <c r="M13" s="613">
        <v>6.7000000000000004E-2</v>
      </c>
      <c r="N13" s="613">
        <v>6.9000000000000006E-2</v>
      </c>
      <c r="O13" s="614">
        <v>7.0999999999999994E-2</v>
      </c>
      <c r="P13" s="613">
        <v>7.2999999999999995E-2</v>
      </c>
      <c r="Q13" s="613">
        <v>6.9000000000000006E-2</v>
      </c>
      <c r="R13" s="684">
        <v>6.9000000000000006E-2</v>
      </c>
      <c r="S13" s="614">
        <v>6.8000000000000005E-2</v>
      </c>
      <c r="T13" s="613">
        <v>6.8000000000000005E-2</v>
      </c>
      <c r="U13" s="613">
        <v>6.8000000000000005E-2</v>
      </c>
      <c r="V13" s="684">
        <v>7.0000000000000007E-2</v>
      </c>
      <c r="W13" s="614">
        <v>7.1999999999999995E-2</v>
      </c>
      <c r="X13" s="613">
        <v>7.2999999999999995E-2</v>
      </c>
      <c r="Y13" s="864">
        <v>7.4999999999999997E-2</v>
      </c>
      <c r="Z13" s="684">
        <v>7.5999999999999998E-2</v>
      </c>
      <c r="AA13" s="614">
        <v>7.5999999999999998E-2</v>
      </c>
      <c r="AB13" s="613">
        <v>7.4999999999999997E-2</v>
      </c>
      <c r="AC13" s="613"/>
      <c r="AD13" s="684"/>
    </row>
    <row r="14" spans="1:36" ht="20.149999999999999" customHeight="1">
      <c r="A14" s="612" t="s">
        <v>640</v>
      </c>
      <c r="B14" s="612" t="s">
        <v>641</v>
      </c>
      <c r="C14" s="616">
        <v>1.98</v>
      </c>
      <c r="D14" s="616">
        <v>2</v>
      </c>
      <c r="E14" s="616">
        <v>2.02</v>
      </c>
      <c r="F14" s="616">
        <v>2.0499999999999998</v>
      </c>
      <c r="G14" s="617">
        <v>2.0699999999999998</v>
      </c>
      <c r="H14" s="616">
        <v>2.08</v>
      </c>
      <c r="I14" s="616">
        <v>2.1</v>
      </c>
      <c r="J14" s="616">
        <v>2.12</v>
      </c>
      <c r="K14" s="618">
        <v>2.13</v>
      </c>
      <c r="L14" s="616">
        <v>2.15</v>
      </c>
      <c r="M14" s="616">
        <v>2.17</v>
      </c>
      <c r="N14" s="616">
        <v>2.19</v>
      </c>
      <c r="O14" s="617">
        <v>2.21</v>
      </c>
      <c r="P14" s="616">
        <v>2.2200000000000002</v>
      </c>
      <c r="Q14" s="616">
        <v>2.2200000000000002</v>
      </c>
      <c r="R14" s="685">
        <v>2.23</v>
      </c>
      <c r="S14" s="617">
        <v>2.23</v>
      </c>
      <c r="T14" s="616">
        <v>2.23</v>
      </c>
      <c r="U14" s="616">
        <v>2.2400000000000002</v>
      </c>
      <c r="V14" s="685">
        <v>2.2400000000000002</v>
      </c>
      <c r="W14" s="617">
        <v>2.2400000000000002</v>
      </c>
      <c r="X14" s="616">
        <v>2.2400000000000002</v>
      </c>
      <c r="Y14" s="863">
        <v>2.2400000000000002</v>
      </c>
      <c r="Z14" s="685">
        <v>2.2599999999999998</v>
      </c>
      <c r="AA14" s="617">
        <v>2.27</v>
      </c>
      <c r="AB14" s="616">
        <v>2.27</v>
      </c>
      <c r="AC14" s="616"/>
      <c r="AD14" s="685"/>
    </row>
    <row r="15" spans="1:36" s="593" customFormat="1" ht="20.149999999999999" customHeight="1">
      <c r="A15" s="589" t="s">
        <v>642</v>
      </c>
      <c r="B15" s="589" t="s">
        <v>643</v>
      </c>
      <c r="C15" s="590"/>
      <c r="D15" s="590"/>
      <c r="E15" s="590"/>
      <c r="F15" s="590"/>
      <c r="G15" s="591"/>
      <c r="H15" s="590"/>
      <c r="I15" s="590"/>
      <c r="J15" s="590"/>
      <c r="K15" s="592"/>
      <c r="L15" s="590"/>
      <c r="M15" s="590"/>
      <c r="N15" s="590"/>
      <c r="O15" s="591"/>
      <c r="P15" s="590"/>
      <c r="Q15" s="590"/>
      <c r="R15" s="680"/>
      <c r="S15" s="591"/>
      <c r="T15" s="590"/>
      <c r="U15" s="590"/>
      <c r="V15" s="680"/>
      <c r="W15" s="591"/>
      <c r="X15" s="590"/>
      <c r="Y15" s="862"/>
      <c r="Z15" s="680"/>
      <c r="AA15" s="591"/>
      <c r="AB15" s="590"/>
      <c r="AC15" s="862"/>
      <c r="AD15" s="680"/>
    </row>
    <row r="16" spans="1:36" s="599" customFormat="1" ht="20.149999999999999" customHeight="1">
      <c r="A16" s="619" t="s">
        <v>644</v>
      </c>
      <c r="B16" s="620" t="s">
        <v>645</v>
      </c>
      <c r="C16" s="596">
        <f t="shared" ref="C16:R16" si="16">SUM(C17:C19)</f>
        <v>2783.2</v>
      </c>
      <c r="D16" s="596">
        <f t="shared" si="16"/>
        <v>2768.7</v>
      </c>
      <c r="E16" s="596">
        <f t="shared" si="16"/>
        <v>2794.2000000000003</v>
      </c>
      <c r="F16" s="596">
        <f t="shared" si="16"/>
        <v>2646.9</v>
      </c>
      <c r="G16" s="597">
        <f t="shared" si="16"/>
        <v>2642.7999999999997</v>
      </c>
      <c r="H16" s="596">
        <f t="shared" si="16"/>
        <v>2607.4</v>
      </c>
      <c r="I16" s="596">
        <f t="shared" si="16"/>
        <v>2678.9</v>
      </c>
      <c r="J16" s="596">
        <f t="shared" si="16"/>
        <v>2657.5</v>
      </c>
      <c r="K16" s="598">
        <f t="shared" si="16"/>
        <v>2638.7000000000003</v>
      </c>
      <c r="L16" s="596">
        <f t="shared" si="16"/>
        <v>2525.1999999999998</v>
      </c>
      <c r="M16" s="596">
        <f t="shared" si="16"/>
        <v>2671.2</v>
      </c>
      <c r="N16" s="596">
        <f t="shared" si="16"/>
        <v>2617.8000000000002</v>
      </c>
      <c r="O16" s="597">
        <f t="shared" si="16"/>
        <v>2736</v>
      </c>
      <c r="P16" s="596">
        <f t="shared" si="16"/>
        <v>2596</v>
      </c>
      <c r="Q16" s="596">
        <f t="shared" si="16"/>
        <v>2773</v>
      </c>
      <c r="R16" s="681">
        <f t="shared" si="16"/>
        <v>2665.6990000000001</v>
      </c>
      <c r="S16" s="597">
        <f t="shared" ref="S16:V16" si="17">SUM(S17:S19)</f>
        <v>2832</v>
      </c>
      <c r="T16" s="596">
        <f t="shared" si="17"/>
        <v>2772</v>
      </c>
      <c r="U16" s="596">
        <f t="shared" si="17"/>
        <v>2832</v>
      </c>
      <c r="V16" s="681">
        <f t="shared" si="17"/>
        <v>2691</v>
      </c>
      <c r="W16" s="597">
        <f t="shared" ref="W16:AB16" si="18">SUM(W17:W19)</f>
        <v>2693</v>
      </c>
      <c r="X16" s="596">
        <f t="shared" si="18"/>
        <v>2656</v>
      </c>
      <c r="Y16" s="596">
        <f t="shared" si="18"/>
        <v>2738</v>
      </c>
      <c r="Z16" s="681">
        <f t="shared" si="18"/>
        <v>2646</v>
      </c>
      <c r="AA16" s="597">
        <f t="shared" si="18"/>
        <v>2624</v>
      </c>
      <c r="AB16" s="596">
        <f t="shared" si="18"/>
        <v>2609</v>
      </c>
      <c r="AC16" s="596"/>
      <c r="AD16" s="681"/>
    </row>
    <row r="17" spans="1:30" s="599" customFormat="1" ht="20.149999999999999" customHeight="1">
      <c r="A17" s="621" t="s">
        <v>646</v>
      </c>
      <c r="B17" s="621" t="s">
        <v>647</v>
      </c>
      <c r="C17" s="622">
        <v>75.2</v>
      </c>
      <c r="D17" s="622">
        <v>59.7</v>
      </c>
      <c r="E17" s="622">
        <v>91.3</v>
      </c>
      <c r="F17" s="622">
        <v>95.7</v>
      </c>
      <c r="G17" s="623">
        <v>144.6</v>
      </c>
      <c r="H17" s="622">
        <v>87.2</v>
      </c>
      <c r="I17" s="622">
        <v>142.9</v>
      </c>
      <c r="J17" s="622">
        <v>161.19999999999999</v>
      </c>
      <c r="K17" s="624">
        <v>172</v>
      </c>
      <c r="L17" s="622">
        <v>93.3</v>
      </c>
      <c r="M17" s="622">
        <v>158.1</v>
      </c>
      <c r="N17" s="622">
        <v>114.4</v>
      </c>
      <c r="O17" s="623">
        <v>225</v>
      </c>
      <c r="P17" s="622">
        <v>135</v>
      </c>
      <c r="Q17" s="622">
        <v>145</v>
      </c>
      <c r="R17" s="686">
        <v>89.698999999999998</v>
      </c>
      <c r="S17" s="623">
        <v>129</v>
      </c>
      <c r="T17" s="622">
        <v>81</v>
      </c>
      <c r="U17" s="622">
        <v>161</v>
      </c>
      <c r="V17" s="686">
        <v>82</v>
      </c>
      <c r="W17" s="623">
        <v>121</v>
      </c>
      <c r="X17" s="602">
        <v>79</v>
      </c>
      <c r="Y17" s="622">
        <v>128</v>
      </c>
      <c r="Z17" s="686">
        <v>98</v>
      </c>
      <c r="AA17" s="623">
        <v>123</v>
      </c>
      <c r="AB17" s="622">
        <v>112</v>
      </c>
      <c r="AC17" s="622"/>
      <c r="AD17" s="686"/>
    </row>
    <row r="18" spans="1:30" s="599" customFormat="1" ht="20.149999999999999" customHeight="1">
      <c r="A18" s="621" t="s">
        <v>627</v>
      </c>
      <c r="B18" s="621" t="s">
        <v>648</v>
      </c>
      <c r="C18" s="622">
        <v>2539.4</v>
      </c>
      <c r="D18" s="622">
        <v>2545.6999999999998</v>
      </c>
      <c r="E18" s="622">
        <v>2550.4</v>
      </c>
      <c r="F18" s="622">
        <v>2423.8000000000002</v>
      </c>
      <c r="G18" s="623">
        <v>2387.6999999999998</v>
      </c>
      <c r="H18" s="622">
        <v>2418.4</v>
      </c>
      <c r="I18" s="622">
        <v>2443.3000000000002</v>
      </c>
      <c r="J18" s="622">
        <v>2415.8000000000002</v>
      </c>
      <c r="K18" s="624">
        <v>2393.4</v>
      </c>
      <c r="L18" s="622">
        <v>2364.1999999999998</v>
      </c>
      <c r="M18" s="622">
        <v>2449.1999999999998</v>
      </c>
      <c r="N18" s="622">
        <v>2445.9</v>
      </c>
      <c r="O18" s="623">
        <v>2458</v>
      </c>
      <c r="P18" s="622">
        <v>2414</v>
      </c>
      <c r="Q18" s="622">
        <v>2584</v>
      </c>
      <c r="R18" s="686">
        <v>2537</v>
      </c>
      <c r="S18" s="623">
        <v>2666</v>
      </c>
      <c r="T18" s="622">
        <v>2655</v>
      </c>
      <c r="U18" s="622">
        <v>2636</v>
      </c>
      <c r="V18" s="686">
        <v>2578</v>
      </c>
      <c r="W18" s="623">
        <v>2542</v>
      </c>
      <c r="X18" s="602">
        <v>2548</v>
      </c>
      <c r="Y18" s="622">
        <v>2582</v>
      </c>
      <c r="Z18" s="686">
        <v>2522</v>
      </c>
      <c r="AA18" s="623">
        <v>2476</v>
      </c>
      <c r="AB18" s="622">
        <v>2473</v>
      </c>
      <c r="AC18" s="622"/>
      <c r="AD18" s="686"/>
    </row>
    <row r="19" spans="1:30" s="599" customFormat="1" ht="20.149999999999999" customHeight="1">
      <c r="A19" s="621" t="s">
        <v>649</v>
      </c>
      <c r="B19" s="621" t="s">
        <v>650</v>
      </c>
      <c r="C19" s="622">
        <v>168.6</v>
      </c>
      <c r="D19" s="622">
        <v>163.30000000000001</v>
      </c>
      <c r="E19" s="622">
        <v>152.5</v>
      </c>
      <c r="F19" s="622">
        <v>127.4</v>
      </c>
      <c r="G19" s="623">
        <v>110.5</v>
      </c>
      <c r="H19" s="622">
        <v>101.8</v>
      </c>
      <c r="I19" s="622">
        <v>92.7</v>
      </c>
      <c r="J19" s="622">
        <v>80.5</v>
      </c>
      <c r="K19" s="624">
        <v>73.3</v>
      </c>
      <c r="L19" s="622">
        <v>67.7</v>
      </c>
      <c r="M19" s="622">
        <v>63.9</v>
      </c>
      <c r="N19" s="622">
        <v>57.5</v>
      </c>
      <c r="O19" s="623">
        <v>53</v>
      </c>
      <c r="P19" s="622">
        <v>47</v>
      </c>
      <c r="Q19" s="622">
        <v>44</v>
      </c>
      <c r="R19" s="686">
        <v>39</v>
      </c>
      <c r="S19" s="623">
        <v>37</v>
      </c>
      <c r="T19" s="622">
        <v>36</v>
      </c>
      <c r="U19" s="622">
        <v>35</v>
      </c>
      <c r="V19" s="686">
        <v>31</v>
      </c>
      <c r="W19" s="623">
        <v>30</v>
      </c>
      <c r="X19" s="602">
        <v>29</v>
      </c>
      <c r="Y19" s="622">
        <v>28</v>
      </c>
      <c r="Z19" s="686">
        <v>26</v>
      </c>
      <c r="AA19" s="623">
        <v>25</v>
      </c>
      <c r="AB19" s="622">
        <v>24</v>
      </c>
      <c r="AC19" s="622"/>
      <c r="AD19" s="686"/>
    </row>
    <row r="20" spans="1:30" s="611" customFormat="1" ht="20.149999999999999" customHeight="1">
      <c r="A20" s="606" t="s">
        <v>651</v>
      </c>
      <c r="B20" s="607" t="s">
        <v>652</v>
      </c>
      <c r="C20" s="608">
        <v>15.1</v>
      </c>
      <c r="D20" s="608">
        <v>15.4</v>
      </c>
      <c r="E20" s="608">
        <v>15.9</v>
      </c>
      <c r="F20" s="608">
        <v>15.2</v>
      </c>
      <c r="G20" s="609">
        <v>15</v>
      </c>
      <c r="H20" s="608">
        <v>15.5</v>
      </c>
      <c r="I20" s="608">
        <v>15.7</v>
      </c>
      <c r="J20" s="608">
        <v>15.2</v>
      </c>
      <c r="K20" s="610">
        <v>15.1</v>
      </c>
      <c r="L20" s="608">
        <v>15.2</v>
      </c>
      <c r="M20" s="608">
        <v>15.9</v>
      </c>
      <c r="N20" s="608">
        <v>15.8</v>
      </c>
      <c r="O20" s="609">
        <v>15.6</v>
      </c>
      <c r="P20" s="608">
        <v>16</v>
      </c>
      <c r="Q20" s="608">
        <v>16.399999999999999</v>
      </c>
      <c r="R20" s="683">
        <v>16.600000000000001</v>
      </c>
      <c r="S20" s="609">
        <v>17.2</v>
      </c>
      <c r="T20" s="608">
        <v>17.399999999999999</v>
      </c>
      <c r="U20" s="608">
        <v>17.899999999999999</v>
      </c>
      <c r="V20" s="683">
        <v>17.399999999999999</v>
      </c>
      <c r="W20" s="609">
        <v>17.100000000000001</v>
      </c>
      <c r="X20" s="608">
        <v>17.8</v>
      </c>
      <c r="Y20" s="608">
        <v>17.899999999999999</v>
      </c>
      <c r="Z20" s="683">
        <v>17.399999999999999</v>
      </c>
      <c r="AA20" s="609">
        <v>17.3</v>
      </c>
      <c r="AB20" s="608">
        <v>18</v>
      </c>
      <c r="AC20" s="608"/>
      <c r="AD20" s="683"/>
    </row>
    <row r="21" spans="1:30" s="611" customFormat="1" ht="20.149999999999999" customHeight="1" thickBot="1">
      <c r="A21" s="625" t="s">
        <v>653</v>
      </c>
      <c r="B21" s="626" t="s">
        <v>654</v>
      </c>
      <c r="C21" s="627">
        <v>15.1</v>
      </c>
      <c r="D21" s="627">
        <v>15.3</v>
      </c>
      <c r="E21" s="627">
        <v>15.5</v>
      </c>
      <c r="F21" s="627">
        <v>15.4</v>
      </c>
      <c r="G21" s="628">
        <v>15</v>
      </c>
      <c r="H21" s="627">
        <v>15.3</v>
      </c>
      <c r="I21" s="627">
        <v>15.4</v>
      </c>
      <c r="J21" s="627">
        <v>15.4</v>
      </c>
      <c r="K21" s="629">
        <v>15.1</v>
      </c>
      <c r="L21" s="627">
        <v>15.1</v>
      </c>
      <c r="M21" s="627">
        <v>15.4</v>
      </c>
      <c r="N21" s="627">
        <v>15.5</v>
      </c>
      <c r="O21" s="628">
        <v>15.6</v>
      </c>
      <c r="P21" s="627">
        <v>15.8</v>
      </c>
      <c r="Q21" s="627">
        <v>16</v>
      </c>
      <c r="R21" s="687">
        <v>16.2</v>
      </c>
      <c r="S21" s="628">
        <v>17.2</v>
      </c>
      <c r="T21" s="627">
        <v>17.3</v>
      </c>
      <c r="U21" s="627">
        <v>17.5</v>
      </c>
      <c r="V21" s="687">
        <v>17.5</v>
      </c>
      <c r="W21" s="628">
        <v>17.100000000000001</v>
      </c>
      <c r="X21" s="627">
        <v>17.5</v>
      </c>
      <c r="Y21" s="627">
        <v>17.600000000000001</v>
      </c>
      <c r="Z21" s="687">
        <v>17.600000000000001</v>
      </c>
      <c r="AA21" s="628">
        <v>17.3</v>
      </c>
      <c r="AB21" s="627">
        <v>17.7</v>
      </c>
      <c r="AC21" s="627"/>
      <c r="AD21" s="687"/>
    </row>
    <row r="22" spans="1:30" s="593" customFormat="1" ht="20.149999999999999" customHeight="1">
      <c r="A22" s="589" t="s">
        <v>655</v>
      </c>
      <c r="B22" s="589" t="s">
        <v>656</v>
      </c>
      <c r="C22" s="590"/>
      <c r="D22" s="590"/>
      <c r="E22" s="590"/>
      <c r="F22" s="590"/>
      <c r="G22" s="591"/>
      <c r="H22" s="590"/>
      <c r="I22" s="590"/>
      <c r="J22" s="590"/>
      <c r="K22" s="592"/>
      <c r="L22" s="590"/>
      <c r="M22" s="590"/>
      <c r="N22" s="590"/>
      <c r="O22" s="591"/>
      <c r="P22" s="590"/>
      <c r="Q22" s="590"/>
      <c r="R22" s="680"/>
      <c r="S22" s="591"/>
      <c r="T22" s="590"/>
      <c r="U22" s="590"/>
      <c r="V22" s="680"/>
      <c r="W22" s="591"/>
      <c r="X22" s="590"/>
      <c r="Y22" s="865"/>
      <c r="Z22" s="680"/>
      <c r="AA22" s="591"/>
      <c r="AB22" s="590"/>
      <c r="AC22" s="865"/>
      <c r="AD22" s="680"/>
    </row>
    <row r="23" spans="1:30" s="611" customFormat="1" ht="20.149999999999999" customHeight="1">
      <c r="A23" s="606" t="s">
        <v>657</v>
      </c>
      <c r="B23" s="607" t="s">
        <v>658</v>
      </c>
      <c r="C23" s="608">
        <v>68.2</v>
      </c>
      <c r="D23" s="608">
        <v>68</v>
      </c>
      <c r="E23" s="608">
        <v>68.099999999999994</v>
      </c>
      <c r="F23" s="608">
        <v>68.2</v>
      </c>
      <c r="G23" s="609">
        <v>68.2</v>
      </c>
      <c r="H23" s="608">
        <v>68.2</v>
      </c>
      <c r="I23" s="608">
        <v>68.400000000000006</v>
      </c>
      <c r="J23" s="608">
        <v>68.7</v>
      </c>
      <c r="K23" s="610">
        <v>68.900000000000006</v>
      </c>
      <c r="L23" s="608">
        <v>68.599999999999994</v>
      </c>
      <c r="M23" s="608">
        <v>68.900000000000006</v>
      </c>
      <c r="N23" s="608">
        <v>69.3</v>
      </c>
      <c r="O23" s="609">
        <v>68.8</v>
      </c>
      <c r="P23" s="608">
        <v>68.3</v>
      </c>
      <c r="Q23" s="608">
        <v>68.8</v>
      </c>
      <c r="R23" s="683">
        <v>68.900000000000006</v>
      </c>
      <c r="S23" s="609">
        <v>68.900000000000006</v>
      </c>
      <c r="T23" s="608">
        <v>68.8</v>
      </c>
      <c r="U23" s="608">
        <v>69.099999999999994</v>
      </c>
      <c r="V23" s="683">
        <v>69.099999999999994</v>
      </c>
      <c r="W23" s="609">
        <v>69.3</v>
      </c>
      <c r="X23" s="608">
        <v>69</v>
      </c>
      <c r="Y23" s="608">
        <v>68.8</v>
      </c>
      <c r="Z23" s="683">
        <v>68.8</v>
      </c>
      <c r="AA23" s="609">
        <v>68.400000000000006</v>
      </c>
      <c r="AB23" s="608">
        <v>68.5</v>
      </c>
      <c r="AC23" s="608"/>
      <c r="AD23" s="683"/>
    </row>
    <row r="24" spans="1:30" ht="20.149999999999999" customHeight="1">
      <c r="A24" s="606" t="s">
        <v>659</v>
      </c>
      <c r="B24" s="607" t="s">
        <v>660</v>
      </c>
      <c r="C24" s="622">
        <v>1412.8</v>
      </c>
      <c r="D24" s="622">
        <v>1438.5</v>
      </c>
      <c r="E24" s="622">
        <v>1442.3</v>
      </c>
      <c r="F24" s="622">
        <v>1408.8</v>
      </c>
      <c r="G24" s="623">
        <v>1391.3</v>
      </c>
      <c r="H24" s="622">
        <v>1384.2</v>
      </c>
      <c r="I24" s="622">
        <v>1409.9</v>
      </c>
      <c r="J24" s="622">
        <v>1413.9</v>
      </c>
      <c r="K24" s="624">
        <v>1392.9</v>
      </c>
      <c r="L24" s="622">
        <v>1376.1</v>
      </c>
      <c r="M24" s="622">
        <v>1368.6</v>
      </c>
      <c r="N24" s="622">
        <v>1384.2</v>
      </c>
      <c r="O24" s="623">
        <v>1404</v>
      </c>
      <c r="P24" s="622">
        <v>1387</v>
      </c>
      <c r="Q24" s="622">
        <v>1367</v>
      </c>
      <c r="R24" s="686">
        <v>1403</v>
      </c>
      <c r="S24" s="623">
        <v>1392</v>
      </c>
      <c r="T24" s="622">
        <v>1378</v>
      </c>
      <c r="U24" s="622">
        <v>1425</v>
      </c>
      <c r="V24" s="686">
        <v>1427</v>
      </c>
      <c r="W24" s="623">
        <v>1434</v>
      </c>
      <c r="X24" s="622">
        <v>1463</v>
      </c>
      <c r="Y24" s="622">
        <v>1456</v>
      </c>
      <c r="Z24" s="686">
        <v>1463</v>
      </c>
      <c r="AA24" s="623">
        <v>1490</v>
      </c>
      <c r="AB24" s="622">
        <v>1485</v>
      </c>
      <c r="AC24" s="622"/>
      <c r="AD24" s="686"/>
    </row>
    <row r="25" spans="1:30" ht="20.149999999999999" customHeight="1" thickBot="1">
      <c r="A25" s="630" t="s">
        <v>661</v>
      </c>
      <c r="B25" s="631" t="s">
        <v>662</v>
      </c>
      <c r="C25" s="632">
        <v>1412.8</v>
      </c>
      <c r="D25" s="632">
        <v>1425.6</v>
      </c>
      <c r="E25" s="632">
        <v>1431.2</v>
      </c>
      <c r="F25" s="632">
        <v>1425.6</v>
      </c>
      <c r="G25" s="633">
        <v>1391.3</v>
      </c>
      <c r="H25" s="632">
        <v>1387.8</v>
      </c>
      <c r="I25" s="632">
        <v>1395.1</v>
      </c>
      <c r="J25" s="632">
        <v>1399.9</v>
      </c>
      <c r="K25" s="634">
        <v>1392.9</v>
      </c>
      <c r="L25" s="632">
        <v>1384.5</v>
      </c>
      <c r="M25" s="632">
        <v>1379.2</v>
      </c>
      <c r="N25" s="632">
        <v>1380.5</v>
      </c>
      <c r="O25" s="633">
        <v>1404</v>
      </c>
      <c r="P25" s="632">
        <v>1396</v>
      </c>
      <c r="Q25" s="632">
        <v>1386</v>
      </c>
      <c r="R25" s="688">
        <v>1390</v>
      </c>
      <c r="S25" s="633">
        <v>1392</v>
      </c>
      <c r="T25" s="632">
        <v>1385</v>
      </c>
      <c r="U25" s="632">
        <v>1398</v>
      </c>
      <c r="V25" s="688">
        <v>1406</v>
      </c>
      <c r="W25" s="633">
        <v>1434</v>
      </c>
      <c r="X25" s="632">
        <v>1449</v>
      </c>
      <c r="Y25" s="632">
        <v>1451</v>
      </c>
      <c r="Z25" s="688">
        <v>1454</v>
      </c>
      <c r="AA25" s="633">
        <v>1490</v>
      </c>
      <c r="AB25" s="632">
        <v>1487</v>
      </c>
      <c r="AC25" s="632"/>
      <c r="AD25" s="688"/>
    </row>
    <row r="26" spans="1:30" ht="20.149999999999999" customHeight="1">
      <c r="C26" s="611"/>
      <c r="D26" s="611"/>
      <c r="E26" s="611"/>
      <c r="F26" s="611"/>
      <c r="G26" s="611"/>
      <c r="H26" s="611"/>
      <c r="I26" s="611"/>
      <c r="J26" s="611"/>
      <c r="K26" s="611"/>
      <c r="L26" s="611"/>
      <c r="M26" s="611"/>
      <c r="N26" s="611"/>
      <c r="O26" s="611"/>
      <c r="P26" s="611"/>
      <c r="Q26" s="611"/>
      <c r="S26" s="611"/>
      <c r="T26" s="611"/>
      <c r="U26" s="611"/>
      <c r="W26" s="611"/>
      <c r="X26" s="611"/>
      <c r="Y26" s="611"/>
      <c r="AA26" s="938"/>
      <c r="AB26" s="611"/>
      <c r="AC26" s="611"/>
    </row>
    <row r="27" spans="1:30" ht="60">
      <c r="A27" s="635" t="s">
        <v>663</v>
      </c>
      <c r="B27" s="636" t="s">
        <v>664</v>
      </c>
      <c r="C27" s="637"/>
      <c r="D27" s="637"/>
      <c r="E27" s="637"/>
      <c r="F27" s="637"/>
      <c r="G27" s="637"/>
      <c r="H27" s="637"/>
      <c r="I27" s="637"/>
      <c r="J27" s="637"/>
      <c r="K27" s="637"/>
      <c r="L27" s="637"/>
      <c r="M27" s="637"/>
      <c r="N27" s="637"/>
      <c r="O27" s="637"/>
      <c r="P27" s="637"/>
      <c r="Q27" s="637"/>
      <c r="S27" s="637"/>
      <c r="T27" s="637"/>
      <c r="U27" s="637"/>
      <c r="W27" s="637"/>
      <c r="X27" s="637"/>
      <c r="Y27" s="637"/>
      <c r="AA27" s="637"/>
      <c r="AB27" s="637"/>
      <c r="AC27" s="637"/>
    </row>
    <row r="28" spans="1:30" ht="60">
      <c r="A28" s="635" t="s">
        <v>665</v>
      </c>
      <c r="B28" s="636" t="s">
        <v>666</v>
      </c>
      <c r="C28" s="638"/>
      <c r="D28" s="638"/>
      <c r="E28" s="638"/>
      <c r="F28" s="638"/>
      <c r="G28" s="639"/>
      <c r="H28" s="639"/>
      <c r="I28" s="639"/>
      <c r="J28" s="639"/>
      <c r="K28" s="639"/>
      <c r="L28" s="639"/>
      <c r="M28" s="639"/>
      <c r="N28" s="639"/>
      <c r="O28" s="639"/>
      <c r="P28" s="639"/>
      <c r="Q28" s="720"/>
      <c r="R28" s="720"/>
      <c r="S28" s="721"/>
      <c r="T28" s="722"/>
      <c r="U28" s="639"/>
      <c r="W28" s="721"/>
      <c r="X28" s="722"/>
      <c r="Y28" s="639"/>
      <c r="AA28" s="721"/>
      <c r="AB28" s="722"/>
      <c r="AC28" s="639"/>
    </row>
    <row r="29" spans="1:30" ht="36">
      <c r="A29" s="640" t="s">
        <v>667</v>
      </c>
      <c r="B29" s="636" t="s">
        <v>668</v>
      </c>
      <c r="C29" s="638"/>
      <c r="D29" s="638"/>
      <c r="E29" s="638"/>
      <c r="F29" s="638"/>
      <c r="G29" s="639"/>
      <c r="H29" s="639"/>
      <c r="I29" s="639"/>
      <c r="J29" s="639"/>
      <c r="K29" s="639"/>
      <c r="L29" s="639"/>
      <c r="M29" s="639"/>
      <c r="N29" s="639"/>
      <c r="O29" s="639"/>
      <c r="P29" s="639"/>
      <c r="Q29" s="720"/>
      <c r="S29" s="721"/>
      <c r="T29" s="722"/>
      <c r="U29" s="639"/>
      <c r="W29" s="721"/>
      <c r="X29" s="722"/>
      <c r="Y29" s="639"/>
      <c r="AA29" s="721"/>
      <c r="AB29" s="722"/>
      <c r="AC29" s="639"/>
    </row>
    <row r="30" spans="1:30" ht="132" customHeight="1">
      <c r="A30" s="640" t="s">
        <v>669</v>
      </c>
      <c r="B30" s="636" t="s">
        <v>670</v>
      </c>
      <c r="G30" s="639"/>
      <c r="H30" s="639"/>
      <c r="I30" s="639"/>
      <c r="J30" s="639"/>
      <c r="K30" s="639"/>
      <c r="L30" s="639"/>
      <c r="M30" s="639"/>
      <c r="N30" s="639"/>
      <c r="O30" s="639"/>
      <c r="P30" s="639"/>
      <c r="Q30" s="639"/>
      <c r="S30" s="639"/>
      <c r="T30" s="639"/>
      <c r="U30" s="639"/>
      <c r="W30" s="639"/>
      <c r="X30" s="639"/>
      <c r="Y30" s="639"/>
      <c r="AA30" s="639"/>
      <c r="AB30" s="639"/>
      <c r="AC30" s="639"/>
    </row>
    <row r="31" spans="1:30" ht="36">
      <c r="A31" s="640" t="s">
        <v>671</v>
      </c>
      <c r="B31" s="636" t="s">
        <v>672</v>
      </c>
      <c r="C31" s="638"/>
      <c r="D31" s="638"/>
      <c r="E31" s="638"/>
      <c r="F31" s="638"/>
    </row>
    <row r="32" spans="1:30" ht="12">
      <c r="A32" s="641"/>
      <c r="B32" s="636"/>
    </row>
    <row r="33" ht="20.149999999999999" customHeight="1"/>
    <row r="34" ht="20.149999999999999" customHeight="1"/>
    <row r="35" ht="20.149999999999999" customHeight="1"/>
    <row r="36" ht="20.149999999999999" customHeight="1"/>
    <row r="37" ht="20.149999999999999" customHeight="1"/>
    <row r="38" ht="20.149999999999999" customHeight="1"/>
    <row r="39" ht="20.149999999999999" customHeight="1"/>
    <row r="40" ht="20.149999999999999" customHeight="1"/>
    <row r="41" ht="20.149999999999999" customHeight="1"/>
    <row r="42" ht="20.149999999999999" customHeight="1"/>
    <row r="43" ht="20.149999999999999" customHeight="1"/>
    <row r="44" ht="20.149999999999999" customHeight="1"/>
    <row r="45" ht="20.149999999999999" customHeight="1"/>
    <row r="46" ht="20.149999999999999" customHeight="1"/>
    <row r="47" ht="20.149999999999999" customHeight="1"/>
    <row r="48" ht="20.149999999999999" customHeight="1"/>
    <row r="49" ht="20.149999999999999" customHeight="1"/>
  </sheetData>
  <mergeCells count="8">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7"/>
  <sheetViews>
    <sheetView showGridLines="0" zoomScale="68" zoomScaleNormal="68" workbookViewId="0">
      <pane xSplit="2" ySplit="3" topLeftCell="BF4" activePane="bottomRight" state="frozen"/>
      <selection pane="topRight" activeCell="C1" sqref="C1"/>
      <selection pane="bottomLeft" activeCell="A4" sqref="A4"/>
      <selection pane="bottomRight" activeCell="BL8" sqref="BL8"/>
    </sheetView>
  </sheetViews>
  <sheetFormatPr defaultColWidth="9" defaultRowHeight="14"/>
  <cols>
    <col min="1" max="1" width="1.58203125" style="135" customWidth="1"/>
    <col min="2" max="2" width="35" customWidth="1"/>
    <col min="3" max="3" width="35.08203125" customWidth="1"/>
    <col min="4" max="32" width="3.1640625" hidden="1" customWidth="1"/>
    <col min="33" max="38" width="8.6640625" customWidth="1"/>
    <col min="39" max="40" width="8.6640625" style="135" customWidth="1"/>
    <col min="41" max="44" width="8.6640625" customWidth="1"/>
    <col min="45" max="45" width="6.58203125" bestFit="1" customWidth="1"/>
    <col min="46" max="48" width="8.6640625" customWidth="1"/>
    <col min="49" max="49" width="9.1640625" customWidth="1"/>
    <col min="50" max="62" width="8.6640625" customWidth="1"/>
  </cols>
  <sheetData>
    <row r="1" spans="1:70" s="135" customFormat="1" ht="89.25" customHeight="1" thickBot="1">
      <c r="B1" s="2"/>
      <c r="C1" s="2"/>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K1"/>
      <c r="AP1"/>
      <c r="AU1"/>
      <c r="AZ1"/>
      <c r="BE1"/>
      <c r="BJ1"/>
    </row>
    <row r="2" spans="1:70" ht="20.25" customHeight="1" thickBot="1">
      <c r="A2"/>
      <c r="B2" s="1011"/>
      <c r="C2" s="1011"/>
      <c r="D2" s="1013"/>
      <c r="E2" s="1014"/>
      <c r="F2" s="1014"/>
      <c r="G2" s="1009"/>
      <c r="H2" s="1013"/>
      <c r="I2" s="1014"/>
      <c r="J2" s="1014"/>
      <c r="K2" s="1014"/>
      <c r="L2" s="1009"/>
      <c r="M2" s="1013"/>
      <c r="N2" s="1014"/>
      <c r="O2" s="1014"/>
      <c r="P2" s="1014"/>
      <c r="Q2" s="1009"/>
      <c r="R2" s="1013"/>
      <c r="S2" s="1014"/>
      <c r="T2" s="1014"/>
      <c r="U2" s="1014"/>
      <c r="V2" s="1009"/>
      <c r="W2" s="1013"/>
      <c r="X2" s="1014"/>
      <c r="Y2" s="1014"/>
      <c r="Z2" s="1014"/>
      <c r="AA2" s="1009"/>
      <c r="AB2" s="1013"/>
      <c r="AC2" s="1014"/>
      <c r="AD2" s="1014"/>
      <c r="AE2" s="1014"/>
      <c r="AF2" s="1009"/>
      <c r="AG2" s="1005">
        <v>2018</v>
      </c>
      <c r="AH2" s="1006"/>
      <c r="AI2" s="1006"/>
      <c r="AJ2" s="1006"/>
      <c r="AK2" s="1015">
        <v>2018</v>
      </c>
      <c r="AL2" s="1005">
        <v>2019</v>
      </c>
      <c r="AM2" s="1006"/>
      <c r="AN2" s="1006"/>
      <c r="AO2" s="1006"/>
      <c r="AP2" s="1007">
        <v>2019</v>
      </c>
      <c r="AQ2" s="1005">
        <v>2020</v>
      </c>
      <c r="AR2" s="1006"/>
      <c r="AS2" s="1006"/>
      <c r="AT2" s="1006"/>
      <c r="AU2" s="1007">
        <v>2020</v>
      </c>
      <c r="AV2" s="1005">
        <v>2021</v>
      </c>
      <c r="AW2" s="1006"/>
      <c r="AX2" s="1006"/>
      <c r="AY2" s="1006"/>
      <c r="AZ2" s="1007" t="s">
        <v>673</v>
      </c>
      <c r="BA2" s="1005">
        <v>2022</v>
      </c>
      <c r="BB2" s="1006"/>
      <c r="BC2" s="1006"/>
      <c r="BD2" s="1006"/>
      <c r="BE2" s="1007" t="s">
        <v>674</v>
      </c>
      <c r="BF2" s="1005">
        <v>2023</v>
      </c>
      <c r="BG2" s="1006"/>
      <c r="BH2" s="1006"/>
      <c r="BI2" s="1006"/>
      <c r="BJ2" s="1007" t="s">
        <v>675</v>
      </c>
      <c r="BK2" s="1005">
        <v>2024</v>
      </c>
      <c r="BL2" s="1006"/>
      <c r="BM2" s="1006"/>
      <c r="BN2" s="1006"/>
      <c r="BO2" s="1007" t="s">
        <v>675</v>
      </c>
    </row>
    <row r="3" spans="1:70" s="340" customFormat="1" ht="20.25" customHeight="1" thickBot="1">
      <c r="B3" s="1012"/>
      <c r="C3" s="1012"/>
      <c r="D3" s="341"/>
      <c r="E3" s="342"/>
      <c r="F3" s="342"/>
      <c r="G3" s="1010"/>
      <c r="H3" s="341"/>
      <c r="I3" s="342"/>
      <c r="J3" s="342"/>
      <c r="K3" s="342"/>
      <c r="L3" s="1010"/>
      <c r="M3" s="341"/>
      <c r="N3" s="342"/>
      <c r="O3" s="342"/>
      <c r="P3" s="342"/>
      <c r="Q3" s="1010"/>
      <c r="R3" s="341"/>
      <c r="S3" s="342"/>
      <c r="T3" s="342"/>
      <c r="U3" s="342"/>
      <c r="V3" s="1010"/>
      <c r="W3" s="341"/>
      <c r="X3" s="342"/>
      <c r="Y3" s="342"/>
      <c r="Z3" s="342"/>
      <c r="AA3" s="1010"/>
      <c r="AB3" s="341"/>
      <c r="AC3" s="342"/>
      <c r="AD3" s="342"/>
      <c r="AE3" s="342"/>
      <c r="AF3" s="1010"/>
      <c r="AG3" s="357" t="s">
        <v>617</v>
      </c>
      <c r="AH3" s="358" t="s">
        <v>618</v>
      </c>
      <c r="AI3" s="358" t="s">
        <v>619</v>
      </c>
      <c r="AJ3" s="358" t="s">
        <v>620</v>
      </c>
      <c r="AK3" s="1016"/>
      <c r="AL3" s="357" t="s">
        <v>617</v>
      </c>
      <c r="AM3" s="358" t="s">
        <v>618</v>
      </c>
      <c r="AN3" s="358" t="s">
        <v>619</v>
      </c>
      <c r="AO3" s="358" t="s">
        <v>620</v>
      </c>
      <c r="AP3" s="1008"/>
      <c r="AQ3" s="357" t="s">
        <v>617</v>
      </c>
      <c r="AR3" s="358" t="s">
        <v>618</v>
      </c>
      <c r="AS3" s="358" t="s">
        <v>619</v>
      </c>
      <c r="AT3" s="358" t="s">
        <v>620</v>
      </c>
      <c r="AU3" s="1008"/>
      <c r="AV3" s="357" t="s">
        <v>617</v>
      </c>
      <c r="AW3" s="358" t="s">
        <v>618</v>
      </c>
      <c r="AX3" s="358" t="s">
        <v>619</v>
      </c>
      <c r="AY3" s="358" t="s">
        <v>620</v>
      </c>
      <c r="AZ3" s="1008"/>
      <c r="BA3" s="357" t="s">
        <v>617</v>
      </c>
      <c r="BB3" s="358" t="s">
        <v>618</v>
      </c>
      <c r="BC3" s="358" t="s">
        <v>619</v>
      </c>
      <c r="BD3" s="358" t="s">
        <v>620</v>
      </c>
      <c r="BE3" s="1008"/>
      <c r="BF3" s="357" t="s">
        <v>617</v>
      </c>
      <c r="BG3" s="358" t="s">
        <v>618</v>
      </c>
      <c r="BH3" s="358" t="s">
        <v>619</v>
      </c>
      <c r="BI3" s="358" t="s">
        <v>620</v>
      </c>
      <c r="BJ3" s="1008"/>
      <c r="BK3" s="357" t="s">
        <v>617</v>
      </c>
      <c r="BL3" s="358" t="s">
        <v>618</v>
      </c>
      <c r="BM3" s="358" t="s">
        <v>619</v>
      </c>
      <c r="BN3" s="358" t="s">
        <v>620</v>
      </c>
      <c r="BO3" s="1008"/>
    </row>
    <row r="4" spans="1:70" ht="20.25" customHeight="1" thickBot="1">
      <c r="A4"/>
      <c r="B4" s="361" t="s">
        <v>676</v>
      </c>
      <c r="C4" s="362" t="s">
        <v>677</v>
      </c>
      <c r="D4" s="362"/>
      <c r="E4" s="362"/>
      <c r="F4" s="362"/>
      <c r="G4" s="362"/>
      <c r="H4" s="362"/>
      <c r="I4" s="362"/>
      <c r="J4" s="362"/>
      <c r="K4" s="362"/>
      <c r="L4" s="362"/>
      <c r="M4" s="362"/>
      <c r="N4" s="362"/>
      <c r="O4" s="362"/>
      <c r="P4" s="362"/>
      <c r="Q4" s="362"/>
      <c r="R4" s="362"/>
      <c r="S4" s="362"/>
      <c r="T4" s="362"/>
      <c r="U4" s="362"/>
      <c r="V4" s="362"/>
      <c r="W4" s="362"/>
      <c r="X4" s="362"/>
      <c r="Y4" s="362"/>
      <c r="Z4" s="362"/>
      <c r="AA4" s="362"/>
      <c r="AB4" s="362"/>
      <c r="AC4" s="362"/>
      <c r="AD4" s="362"/>
      <c r="AE4" s="362"/>
      <c r="AF4" s="362"/>
      <c r="AG4" s="363"/>
      <c r="AH4" s="363"/>
      <c r="AI4" s="363"/>
      <c r="AJ4" s="363"/>
      <c r="AK4" s="504"/>
      <c r="AL4" s="363"/>
      <c r="AM4" s="363"/>
      <c r="AN4" s="363"/>
      <c r="AO4" s="363"/>
      <c r="AP4" s="504"/>
      <c r="AQ4" s="363"/>
      <c r="AR4" s="363"/>
      <c r="AS4" s="363"/>
      <c r="AT4" s="363"/>
      <c r="AU4" s="504"/>
      <c r="AV4" s="363"/>
      <c r="AW4" s="363"/>
      <c r="AX4" s="363"/>
      <c r="AY4" s="363"/>
      <c r="AZ4" s="504"/>
      <c r="BA4" s="363"/>
      <c r="BB4" s="363"/>
      <c r="BC4" s="363"/>
      <c r="BD4" s="363"/>
      <c r="BE4" s="504"/>
      <c r="BF4" s="363"/>
      <c r="BG4" s="363"/>
      <c r="BH4" s="363"/>
      <c r="BI4" s="363"/>
      <c r="BJ4" s="504"/>
      <c r="BK4" s="363"/>
      <c r="BL4" s="363"/>
      <c r="BM4" s="363"/>
      <c r="BN4" s="363"/>
      <c r="BO4" s="504"/>
    </row>
    <row r="5" spans="1:70" ht="25.5" customHeight="1" thickBot="1">
      <c r="A5"/>
      <c r="B5" s="364" t="s">
        <v>678</v>
      </c>
      <c r="C5" s="364" t="s">
        <v>679</v>
      </c>
      <c r="D5" s="365"/>
      <c r="E5" s="365"/>
      <c r="F5" s="366"/>
      <c r="G5" s="367"/>
      <c r="H5" s="365"/>
      <c r="I5" s="365"/>
      <c r="J5" s="365"/>
      <c r="K5" s="366"/>
      <c r="L5" s="367"/>
      <c r="M5" s="365"/>
      <c r="N5" s="365"/>
      <c r="O5" s="365"/>
      <c r="P5" s="366"/>
      <c r="Q5" s="367"/>
      <c r="R5" s="365"/>
      <c r="S5" s="365"/>
      <c r="T5" s="365"/>
      <c r="U5" s="366"/>
      <c r="V5" s="367"/>
      <c r="W5" s="365"/>
      <c r="X5" s="365"/>
      <c r="Y5" s="365"/>
      <c r="Z5" s="366"/>
      <c r="AA5" s="367"/>
      <c r="AB5" s="365"/>
      <c r="AC5" s="365"/>
      <c r="AD5" s="365"/>
      <c r="AE5" s="366"/>
      <c r="AF5" s="367"/>
      <c r="AG5" s="368">
        <v>0.2392</v>
      </c>
      <c r="AH5" s="365">
        <v>0.24160000000000001</v>
      </c>
      <c r="AI5" s="365">
        <v>0.25054333360988129</v>
      </c>
      <c r="AJ5" s="365">
        <v>0.24169975469679564</v>
      </c>
      <c r="AK5" s="505">
        <v>0.24299999999999999</v>
      </c>
      <c r="AL5" s="368">
        <v>0.23364792536680987</v>
      </c>
      <c r="AM5" s="365">
        <v>0.24935000000000002</v>
      </c>
      <c r="AN5" s="365">
        <v>0.24822427628137333</v>
      </c>
      <c r="AO5" s="365">
        <v>0.24182527254608499</v>
      </c>
      <c r="AP5" s="505">
        <v>0.2429</v>
      </c>
      <c r="AQ5" s="368">
        <v>0.23250381468797382</v>
      </c>
      <c r="AR5" s="365">
        <v>0.23040912825290802</v>
      </c>
      <c r="AS5" s="365">
        <v>0.24614294127335679</v>
      </c>
      <c r="AT5" s="366">
        <v>0.24959999999999999</v>
      </c>
      <c r="AU5" s="505">
        <v>0.2394</v>
      </c>
      <c r="AV5" s="365">
        <v>0.24402895821124099</v>
      </c>
      <c r="AW5" s="365">
        <v>0.25085533390902925</v>
      </c>
      <c r="AX5" s="365">
        <v>0.24971187343000292</v>
      </c>
      <c r="AY5" s="366">
        <v>0.24015232926794333</v>
      </c>
      <c r="AZ5" s="505">
        <v>0.2457</v>
      </c>
      <c r="BA5" s="365">
        <v>0.23194245292240989</v>
      </c>
      <c r="BB5" s="365">
        <v>0.22814234798524977</v>
      </c>
      <c r="BC5" s="365">
        <v>0.22469900811855634</v>
      </c>
      <c r="BD5" s="366">
        <v>0.21629999999999999</v>
      </c>
      <c r="BE5" s="505">
        <v>0.2253</v>
      </c>
      <c r="BF5" s="365">
        <v>0.2185</v>
      </c>
      <c r="BG5" s="365">
        <v>0.21959999999999999</v>
      </c>
      <c r="BH5" s="365">
        <v>0.22220400000000001</v>
      </c>
      <c r="BI5" s="366">
        <v>0.22</v>
      </c>
      <c r="BJ5" s="505">
        <f>AVERAGE(BF5:BI5)</f>
        <v>0.22007599999999999</v>
      </c>
      <c r="BK5" s="365">
        <v>0.21529999999999999</v>
      </c>
      <c r="BL5" s="365">
        <v>0.22040000000000001</v>
      </c>
      <c r="BM5" s="365"/>
      <c r="BN5" s="366"/>
      <c r="BO5" s="505">
        <f>AVERAGE(BK5:BN5)</f>
        <v>0.21784999999999999</v>
      </c>
    </row>
    <row r="6" spans="1:70" s="844" customFormat="1" ht="25.5" customHeight="1">
      <c r="A6" s="948"/>
      <c r="B6" s="187" t="s">
        <v>680</v>
      </c>
      <c r="C6" s="187" t="s">
        <v>681</v>
      </c>
      <c r="D6" s="140"/>
      <c r="E6" s="140"/>
      <c r="F6" s="136"/>
      <c r="G6" s="345"/>
      <c r="H6" s="140"/>
      <c r="I6" s="140"/>
      <c r="J6" s="140"/>
      <c r="K6" s="136"/>
      <c r="L6" s="345"/>
      <c r="M6" s="140"/>
      <c r="N6" s="140"/>
      <c r="O6" s="140"/>
      <c r="P6" s="136"/>
      <c r="Q6" s="345"/>
      <c r="R6" s="140"/>
      <c r="S6" s="140"/>
      <c r="T6" s="140"/>
      <c r="U6" s="136"/>
      <c r="V6" s="345"/>
      <c r="W6" s="140"/>
      <c r="X6" s="140"/>
      <c r="Y6" s="140"/>
      <c r="Z6" s="136"/>
      <c r="AA6" s="345"/>
      <c r="AB6" s="140"/>
      <c r="AC6" s="140"/>
      <c r="AD6" s="140"/>
      <c r="AE6" s="136"/>
      <c r="AF6" s="345"/>
      <c r="AG6" s="141">
        <v>0.1187</v>
      </c>
      <c r="AH6" s="140">
        <v>0.1114</v>
      </c>
      <c r="AI6" s="140">
        <v>0.1133</v>
      </c>
      <c r="AJ6" s="140">
        <v>0.11070000000000001</v>
      </c>
      <c r="AK6" s="506">
        <v>0.1137</v>
      </c>
      <c r="AL6" s="141">
        <v>0.112</v>
      </c>
      <c r="AM6" s="140">
        <v>0.1138</v>
      </c>
      <c r="AN6" s="140">
        <v>0.1099</v>
      </c>
      <c r="AO6" s="140">
        <v>0.1043</v>
      </c>
      <c r="AP6" s="506">
        <v>0.1099</v>
      </c>
      <c r="AQ6" s="141">
        <v>9.9000000000000005E-2</v>
      </c>
      <c r="AR6" s="140">
        <v>9.1800000000000007E-2</v>
      </c>
      <c r="AS6" s="140">
        <v>9.3799999999999994E-2</v>
      </c>
      <c r="AT6" s="188">
        <v>9.5500000000000002E-2</v>
      </c>
      <c r="AU6" s="506">
        <v>9.5100000000000004E-2</v>
      </c>
      <c r="AV6" s="140">
        <v>9.2155000000000001E-2</v>
      </c>
      <c r="AW6" s="140">
        <v>8.9494000000000004E-2</v>
      </c>
      <c r="AX6" s="140">
        <v>8.7143507332248127E-2</v>
      </c>
      <c r="AY6" s="188">
        <v>8.8921403903550189E-2</v>
      </c>
      <c r="AZ6" s="506">
        <v>8.9530308836228353E-2</v>
      </c>
      <c r="BA6" s="140">
        <v>8.3168000000000006E-2</v>
      </c>
      <c r="BB6" s="140">
        <v>7.6904E-2</v>
      </c>
      <c r="BC6" s="140">
        <v>7.5086E-2</v>
      </c>
      <c r="BD6" s="188">
        <v>7.8100000000000003E-2</v>
      </c>
      <c r="BE6" s="506">
        <v>7.8522999999999996E-2</v>
      </c>
      <c r="BF6" s="140">
        <v>7.9980999999999997E-2</v>
      </c>
      <c r="BG6" s="140">
        <v>7.7648999999999996E-2</v>
      </c>
      <c r="BH6" s="140">
        <v>7.1568999999999994E-2</v>
      </c>
      <c r="BI6" s="188">
        <v>7.4999999999999997E-2</v>
      </c>
      <c r="BJ6" s="506">
        <f>AVERAGE(BF6:BI6)</f>
        <v>7.6049749999999999E-2</v>
      </c>
      <c r="BK6" s="140">
        <v>7.0999999999999994E-2</v>
      </c>
      <c r="BL6" s="140">
        <v>7.0499999999999993E-2</v>
      </c>
      <c r="BM6" s="140"/>
      <c r="BN6" s="188"/>
      <c r="BO6" s="506">
        <f>AVERAGE(BK6:BN6)</f>
        <v>7.0749999999999993E-2</v>
      </c>
      <c r="BP6" s="948"/>
      <c r="BQ6" s="948"/>
      <c r="BR6" s="948"/>
    </row>
    <row r="7" spans="1:70" s="844" customFormat="1" ht="25.5" customHeight="1">
      <c r="A7" s="948"/>
      <c r="B7" s="187" t="s">
        <v>682</v>
      </c>
      <c r="C7" s="189" t="s">
        <v>683</v>
      </c>
      <c r="D7" s="140"/>
      <c r="E7" s="140"/>
      <c r="F7" s="188"/>
      <c r="G7" s="345"/>
      <c r="H7" s="140"/>
      <c r="I7" s="140"/>
      <c r="J7" s="140"/>
      <c r="K7" s="188"/>
      <c r="L7" s="345"/>
      <c r="M7" s="140"/>
      <c r="N7" s="140"/>
      <c r="O7" s="140"/>
      <c r="P7" s="188"/>
      <c r="Q7" s="345"/>
      <c r="R7" s="140"/>
      <c r="S7" s="140"/>
      <c r="T7" s="140"/>
      <c r="U7" s="188"/>
      <c r="V7" s="345"/>
      <c r="W7" s="140"/>
      <c r="X7" s="140"/>
      <c r="Y7" s="140"/>
      <c r="Z7" s="188"/>
      <c r="AA7" s="345"/>
      <c r="AB7" s="140"/>
      <c r="AC7" s="140"/>
      <c r="AD7" s="140"/>
      <c r="AE7" s="188"/>
      <c r="AF7" s="345"/>
      <c r="AG7" s="141">
        <v>0.1205</v>
      </c>
      <c r="AH7" s="140">
        <v>0.13009999999999999</v>
      </c>
      <c r="AI7" s="140">
        <v>0.13726561528746634</v>
      </c>
      <c r="AJ7" s="140">
        <v>0.13099975469679564</v>
      </c>
      <c r="AK7" s="507">
        <v>0.12939999999999999</v>
      </c>
      <c r="AL7" s="141">
        <v>0.1216</v>
      </c>
      <c r="AM7" s="140">
        <v>0.13550000000000001</v>
      </c>
      <c r="AN7" s="140">
        <v>0.13844127269311104</v>
      </c>
      <c r="AO7" s="140">
        <v>0.13762187191363667</v>
      </c>
      <c r="AP7" s="507">
        <v>0.13300000000000001</v>
      </c>
      <c r="AQ7" s="141">
        <v>0.13355841310577754</v>
      </c>
      <c r="AR7" s="140">
        <v>0.13863586912018128</v>
      </c>
      <c r="AS7" s="140">
        <v>0.15230242840291572</v>
      </c>
      <c r="AT7" s="188">
        <v>0.15409999999999999</v>
      </c>
      <c r="AU7" s="507">
        <v>0.14419999999999999</v>
      </c>
      <c r="AV7" s="140">
        <v>0.15187354531355715</v>
      </c>
      <c r="AW7" s="140">
        <v>0.16135533390902926</v>
      </c>
      <c r="AX7" s="140">
        <v>0.16261187343000294</v>
      </c>
      <c r="AY7" s="188">
        <v>0.15123092536439314</v>
      </c>
      <c r="AZ7" s="507">
        <v>0.15635797009177527</v>
      </c>
      <c r="BA7" s="140">
        <v>0.14877267548397363</v>
      </c>
      <c r="BB7" s="140">
        <v>0.15123834798524977</v>
      </c>
      <c r="BC7" s="140">
        <v>0.149613</v>
      </c>
      <c r="BD7" s="188">
        <v>0.13819999999999999</v>
      </c>
      <c r="BE7" s="507">
        <v>0.14677699999999999</v>
      </c>
      <c r="BF7" s="140">
        <v>0.138519</v>
      </c>
      <c r="BG7" s="140">
        <v>0.14195099999999999</v>
      </c>
      <c r="BH7" s="140">
        <v>0.15063500000000002</v>
      </c>
      <c r="BI7" s="188">
        <v>0.14499999999999999</v>
      </c>
      <c r="BJ7" s="507">
        <f>AVERAGE(BF7:BI7)</f>
        <v>0.14402624999999999</v>
      </c>
      <c r="BK7" s="140">
        <v>0.14429999999999998</v>
      </c>
      <c r="BL7" s="140">
        <v>0.14990000000000001</v>
      </c>
      <c r="BM7" s="140"/>
      <c r="BN7" s="188"/>
      <c r="BO7" s="507">
        <f>AVERAGE(BK7:BN7)</f>
        <v>0.14710000000000001</v>
      </c>
      <c r="BP7" s="948"/>
      <c r="BQ7" s="948"/>
      <c r="BR7" s="948"/>
    </row>
    <row r="8" spans="1:70" s="137" customFormat="1" ht="25.5" customHeight="1">
      <c r="B8" s="138" t="s">
        <v>684</v>
      </c>
      <c r="C8" s="138" t="s">
        <v>685</v>
      </c>
      <c r="D8" s="346"/>
      <c r="E8" s="346"/>
      <c r="F8" s="139"/>
      <c r="G8" s="347"/>
      <c r="H8" s="346"/>
      <c r="I8" s="346"/>
      <c r="J8" s="346"/>
      <c r="K8" s="139"/>
      <c r="L8" s="347"/>
      <c r="M8" s="346"/>
      <c r="N8" s="346"/>
      <c r="O8" s="346"/>
      <c r="P8" s="139"/>
      <c r="Q8" s="347"/>
      <c r="R8" s="346"/>
      <c r="S8" s="346"/>
      <c r="T8" s="346"/>
      <c r="U8" s="139"/>
      <c r="V8" s="347"/>
      <c r="W8" s="346"/>
      <c r="X8" s="346"/>
      <c r="Y8" s="346"/>
      <c r="Z8" s="139"/>
      <c r="AA8" s="347"/>
      <c r="AB8" s="346"/>
      <c r="AC8" s="346"/>
      <c r="AD8" s="346"/>
      <c r="AE8" s="139"/>
      <c r="AF8" s="347"/>
      <c r="AG8" s="140">
        <v>0.27055000000000001</v>
      </c>
      <c r="AH8" s="140">
        <v>0.26307285482727094</v>
      </c>
      <c r="AI8" s="140">
        <v>0.27107489405369956</v>
      </c>
      <c r="AJ8" s="140">
        <v>0.2799015081566204</v>
      </c>
      <c r="AK8" s="507">
        <v>0.27143265306764186</v>
      </c>
      <c r="AL8" s="141">
        <v>0.27277595774888108</v>
      </c>
      <c r="AM8" s="141">
        <v>0.26956701442344921</v>
      </c>
      <c r="AN8" s="141">
        <v>0.25968869690122404</v>
      </c>
      <c r="AO8" s="141">
        <v>0.26098146875847023</v>
      </c>
      <c r="AP8" s="507">
        <v>0.2659147690729412</v>
      </c>
      <c r="AQ8" s="141">
        <v>0.2642789018622998</v>
      </c>
      <c r="AR8" s="141">
        <v>0.27327354861641062</v>
      </c>
      <c r="AS8" s="141">
        <v>0.25869999999999999</v>
      </c>
      <c r="AT8" s="141">
        <v>0.26550000000000001</v>
      </c>
      <c r="AU8" s="507">
        <v>0.26569999999999999</v>
      </c>
      <c r="AV8" s="140">
        <v>0.24552122777620281</v>
      </c>
      <c r="AW8" s="141">
        <v>0.24025279408748573</v>
      </c>
      <c r="AX8" s="141">
        <v>0.24019199288108664</v>
      </c>
      <c r="AY8" s="141">
        <v>0.24716767238182133</v>
      </c>
      <c r="AZ8" s="507">
        <v>0.24349999999999999</v>
      </c>
      <c r="BA8" s="140">
        <v>0.24870403561745946</v>
      </c>
      <c r="BB8" s="140">
        <v>0.24280764993354145</v>
      </c>
      <c r="BC8" s="140">
        <v>0.23386599999999999</v>
      </c>
      <c r="BD8" s="140">
        <v>0.22439999999999999</v>
      </c>
      <c r="BE8" s="507">
        <v>0.23760000000000001</v>
      </c>
      <c r="BF8" s="140">
        <v>0.2334</v>
      </c>
      <c r="BG8" s="140">
        <v>0.2346</v>
      </c>
      <c r="BH8" s="140">
        <v>0.23289399999999999</v>
      </c>
      <c r="BI8" s="140">
        <v>0.23769999999999999</v>
      </c>
      <c r="BJ8" s="507">
        <f>AVERAGE(BF8:BI8)</f>
        <v>0.23464849999999998</v>
      </c>
      <c r="BK8" s="140">
        <v>0.24160000000000001</v>
      </c>
      <c r="BL8" s="140">
        <v>0.22989999999999999</v>
      </c>
      <c r="BM8" s="140"/>
      <c r="BN8" s="140"/>
      <c r="BO8" s="507">
        <f>AVERAGE(BK8:BN8)</f>
        <v>0.23575000000000002</v>
      </c>
    </row>
    <row r="9" spans="1:70" s="137" customFormat="1" ht="25.5" customHeight="1" thickBot="1">
      <c r="B9" s="138" t="s">
        <v>686</v>
      </c>
      <c r="C9" s="138" t="s">
        <v>687</v>
      </c>
      <c r="D9" s="346"/>
      <c r="E9" s="346"/>
      <c r="F9" s="139"/>
      <c r="G9" s="347"/>
      <c r="H9" s="346"/>
      <c r="I9" s="346"/>
      <c r="J9" s="346"/>
      <c r="K9" s="139"/>
      <c r="L9" s="347"/>
      <c r="M9" s="346"/>
      <c r="N9" s="346"/>
      <c r="O9" s="346"/>
      <c r="P9" s="139"/>
      <c r="Q9" s="347"/>
      <c r="R9" s="346"/>
      <c r="S9" s="346"/>
      <c r="T9" s="346"/>
      <c r="U9" s="139"/>
      <c r="V9" s="347"/>
      <c r="W9" s="346"/>
      <c r="X9" s="346"/>
      <c r="Y9" s="346"/>
      <c r="Z9" s="139"/>
      <c r="AA9" s="347"/>
      <c r="AB9" s="346"/>
      <c r="AC9" s="346"/>
      <c r="AD9" s="346"/>
      <c r="AE9" s="139"/>
      <c r="AF9" s="347"/>
      <c r="AG9" s="140">
        <v>0.21878</v>
      </c>
      <c r="AH9" s="140">
        <v>0.22343613004529736</v>
      </c>
      <c r="AI9" s="140">
        <v>0.20803558567084823</v>
      </c>
      <c r="AJ9" s="140">
        <v>0.20762155694075871</v>
      </c>
      <c r="AK9" s="508">
        <v>0.21439941200856841</v>
      </c>
      <c r="AL9" s="141">
        <v>0.21973490554611111</v>
      </c>
      <c r="AM9" s="141">
        <v>0.20743316354782532</v>
      </c>
      <c r="AN9" s="141">
        <v>0.21547125280795693</v>
      </c>
      <c r="AO9" s="141">
        <v>0.21739933081273113</v>
      </c>
      <c r="AP9" s="508">
        <v>0.21521707371036924</v>
      </c>
      <c r="AQ9" s="141">
        <v>0.21964706993225061</v>
      </c>
      <c r="AR9" s="141">
        <v>0.19273450590189634</v>
      </c>
      <c r="AS9" s="141">
        <v>0.19040000000000001</v>
      </c>
      <c r="AT9" s="141">
        <v>0.19350000000000001</v>
      </c>
      <c r="AU9" s="508">
        <v>0.19969999999999999</v>
      </c>
      <c r="AV9" s="140">
        <v>0.2145969192163136</v>
      </c>
      <c r="AW9" s="141">
        <v>0.21298580449377358</v>
      </c>
      <c r="AX9" s="141">
        <v>0.21154341175910182</v>
      </c>
      <c r="AY9" s="141">
        <v>0.21409536596163978</v>
      </c>
      <c r="AZ9" s="508">
        <v>0.21340000000000001</v>
      </c>
      <c r="BA9" s="140">
        <v>0.20908218103661699</v>
      </c>
      <c r="BB9" s="140">
        <v>0.20999839993245734</v>
      </c>
      <c r="BC9" s="140">
        <v>0.22115899999999999</v>
      </c>
      <c r="BD9" s="140">
        <v>0.23910000000000001</v>
      </c>
      <c r="BE9" s="508">
        <v>0.2198</v>
      </c>
      <c r="BF9" s="140">
        <v>0.2049</v>
      </c>
      <c r="BG9" s="140">
        <v>0.19850000000000001</v>
      </c>
      <c r="BH9" s="140">
        <v>0.20371600000000001</v>
      </c>
      <c r="BI9" s="140">
        <v>0.1893</v>
      </c>
      <c r="BJ9" s="508">
        <f>AVERAGE(BF9:BI9)</f>
        <v>0.199104</v>
      </c>
      <c r="BK9" s="140">
        <v>0.1643</v>
      </c>
      <c r="BL9" s="140">
        <v>0.18279999999999999</v>
      </c>
      <c r="BM9" s="140"/>
      <c r="BN9" s="140"/>
      <c r="BO9" s="508">
        <f>AVERAGE(BK9:BN9)</f>
        <v>0.17354999999999998</v>
      </c>
    </row>
    <row r="10" spans="1:70" ht="20.25" customHeight="1">
      <c r="A10"/>
      <c r="B10" s="356" t="s">
        <v>688</v>
      </c>
      <c r="C10" s="344" t="s">
        <v>689</v>
      </c>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54"/>
      <c r="AH10" s="354"/>
      <c r="AI10" s="354"/>
      <c r="AJ10" s="354"/>
      <c r="AK10" s="509"/>
      <c r="AL10" s="354"/>
      <c r="AM10" s="354"/>
      <c r="AN10" s="354"/>
      <c r="AO10" s="354"/>
      <c r="AP10" s="509"/>
      <c r="AQ10" s="354"/>
      <c r="AR10" s="354"/>
      <c r="AS10" s="354"/>
      <c r="AT10" s="354"/>
      <c r="AU10" s="509"/>
      <c r="AV10" s="354"/>
      <c r="AW10" s="354"/>
      <c r="AX10" s="354"/>
      <c r="AY10" s="354"/>
      <c r="AZ10" s="509"/>
      <c r="BA10" s="354"/>
      <c r="BB10" s="354"/>
      <c r="BC10" s="354"/>
      <c r="BD10" s="354"/>
      <c r="BE10" s="509"/>
      <c r="BF10" s="354"/>
      <c r="BG10" s="354"/>
      <c r="BH10" s="354"/>
      <c r="BI10" s="354"/>
      <c r="BJ10" s="509"/>
      <c r="BK10" s="354"/>
      <c r="BL10" s="354"/>
      <c r="BM10" s="354"/>
      <c r="BN10" s="354"/>
      <c r="BO10" s="509"/>
    </row>
    <row r="11" spans="1:70" ht="31.5" thickBot="1">
      <c r="A11"/>
      <c r="B11" s="642" t="s">
        <v>690</v>
      </c>
      <c r="C11" s="642" t="s">
        <v>691</v>
      </c>
      <c r="D11" s="143"/>
      <c r="E11" s="143"/>
      <c r="F11" s="144"/>
      <c r="G11" s="643"/>
      <c r="H11" s="143"/>
      <c r="I11" s="143"/>
      <c r="J11" s="143"/>
      <c r="K11" s="144"/>
      <c r="L11" s="643"/>
      <c r="M11" s="143"/>
      <c r="N11" s="143"/>
      <c r="O11" s="143"/>
      <c r="P11" s="144"/>
      <c r="Q11" s="643"/>
      <c r="R11" s="143"/>
      <c r="S11" s="143"/>
      <c r="T11" s="143"/>
      <c r="U11" s="144"/>
      <c r="V11" s="643"/>
      <c r="W11" s="143"/>
      <c r="X11" s="143"/>
      <c r="Y11" s="143"/>
      <c r="Z11" s="144"/>
      <c r="AA11" s="643"/>
      <c r="AB11" s="143"/>
      <c r="AC11" s="143"/>
      <c r="AD11" s="143"/>
      <c r="AE11" s="144"/>
      <c r="AF11" s="643"/>
      <c r="AG11" s="142">
        <v>996.4</v>
      </c>
      <c r="AH11" s="143">
        <v>1201.9000000000001</v>
      </c>
      <c r="AI11" s="143">
        <v>871.7</v>
      </c>
      <c r="AJ11" s="143">
        <v>1328.2</v>
      </c>
      <c r="AK11" s="510">
        <v>4398.2</v>
      </c>
      <c r="AL11" s="142">
        <v>965.6</v>
      </c>
      <c r="AM11" s="143">
        <v>1203.5999999999999</v>
      </c>
      <c r="AN11" s="143">
        <v>888.2</v>
      </c>
      <c r="AO11" s="143">
        <v>1324.059</v>
      </c>
      <c r="AP11" s="510">
        <v>4381.5060000000003</v>
      </c>
      <c r="AQ11" s="142">
        <v>933.12800000000004</v>
      </c>
      <c r="AR11" s="143">
        <v>778.1</v>
      </c>
      <c r="AS11" s="143">
        <v>894.93439594398706</v>
      </c>
      <c r="AT11" s="143">
        <v>1387.066</v>
      </c>
      <c r="AU11" s="510">
        <f>SUM(AQ11:AT11)</f>
        <v>3993.2283959439874</v>
      </c>
      <c r="AV11" s="143">
        <v>955.63900000000001</v>
      </c>
      <c r="AW11" s="143">
        <v>1193.1590000000001</v>
      </c>
      <c r="AX11" s="143">
        <v>947.99099999999999</v>
      </c>
      <c r="AY11" s="143">
        <v>1450.482</v>
      </c>
      <c r="AZ11" s="510">
        <f>SUM(AV11:AY11)</f>
        <v>4547.2710000000006</v>
      </c>
      <c r="BA11" s="143">
        <v>970.04899999999998</v>
      </c>
      <c r="BB11" s="143">
        <v>1153.1379999999999</v>
      </c>
      <c r="BC11" s="143">
        <v>937.74599999999998</v>
      </c>
      <c r="BD11" s="143">
        <v>1448.0350000000001</v>
      </c>
      <c r="BE11" s="510">
        <f>BA11+BB11+BC11+BD11</f>
        <v>4508.9679999999998</v>
      </c>
      <c r="BF11" s="143">
        <v>1001.424</v>
      </c>
      <c r="BG11" s="143">
        <v>1216.4749999999999</v>
      </c>
      <c r="BH11" s="143">
        <v>991.98599999999999</v>
      </c>
      <c r="BI11" s="143">
        <v>1453.9059999999999</v>
      </c>
      <c r="BJ11" s="510">
        <f>BF11+BG11+BH11+BI11</f>
        <v>4663.7909999999993</v>
      </c>
      <c r="BK11" s="143">
        <v>1092.0429999999999</v>
      </c>
      <c r="BL11" s="143">
        <v>1285.9269999999999</v>
      </c>
      <c r="BM11" s="143"/>
      <c r="BN11" s="143"/>
      <c r="BO11" s="510">
        <f>BK11+BL11+BM11+BN11</f>
        <v>2377.9699999999998</v>
      </c>
      <c r="BR11" s="943"/>
    </row>
    <row r="12" spans="1:70" s="147" customFormat="1" ht="31.5" thickBot="1">
      <c r="B12" s="372" t="s">
        <v>692</v>
      </c>
      <c r="C12" s="372" t="s">
        <v>693</v>
      </c>
      <c r="D12" s="373"/>
      <c r="E12" s="373"/>
      <c r="F12" s="374"/>
      <c r="G12" s="375"/>
      <c r="H12" s="373"/>
      <c r="I12" s="373"/>
      <c r="J12" s="373"/>
      <c r="K12" s="374"/>
      <c r="L12" s="375"/>
      <c r="M12" s="373"/>
      <c r="N12" s="373"/>
      <c r="O12" s="373"/>
      <c r="P12" s="374"/>
      <c r="Q12" s="375"/>
      <c r="R12" s="373"/>
      <c r="S12" s="373"/>
      <c r="T12" s="373"/>
      <c r="U12" s="374"/>
      <c r="V12" s="375"/>
      <c r="W12" s="373"/>
      <c r="X12" s="373"/>
      <c r="Y12" s="373"/>
      <c r="Z12" s="374"/>
      <c r="AA12" s="375"/>
      <c r="AB12" s="373"/>
      <c r="AC12" s="373"/>
      <c r="AD12" s="373"/>
      <c r="AE12" s="374"/>
      <c r="AF12" s="375"/>
      <c r="AG12" s="376">
        <v>269.10000000000002</v>
      </c>
      <c r="AH12" s="373">
        <v>321.39999999999998</v>
      </c>
      <c r="AI12" s="373">
        <v>240.8</v>
      </c>
      <c r="AJ12" s="373">
        <v>369.9</v>
      </c>
      <c r="AK12" s="511">
        <v>1201.3</v>
      </c>
      <c r="AL12" s="376">
        <v>270.60000000000002</v>
      </c>
      <c r="AM12" s="373">
        <v>324.89999999999998</v>
      </c>
      <c r="AN12" s="373">
        <v>249.9</v>
      </c>
      <c r="AO12" s="373">
        <v>379</v>
      </c>
      <c r="AP12" s="511">
        <v>1224.4000000000001</v>
      </c>
      <c r="AQ12" s="376">
        <v>262.54000000000002</v>
      </c>
      <c r="AR12" s="373">
        <v>212.9</v>
      </c>
      <c r="AS12" s="373">
        <v>252</v>
      </c>
      <c r="AT12" s="374">
        <v>396.08300000000003</v>
      </c>
      <c r="AU12" s="511">
        <v>1123.538</v>
      </c>
      <c r="AV12" s="374">
        <v>271.495</v>
      </c>
      <c r="AW12" s="374">
        <v>330.48700000000002</v>
      </c>
      <c r="AX12" s="374">
        <v>267.33800000000002</v>
      </c>
      <c r="AY12" s="374">
        <v>402.26600000000002</v>
      </c>
      <c r="AZ12" s="511">
        <f>SUM(AV12:AY12)</f>
        <v>1271.586</v>
      </c>
      <c r="BA12" s="374">
        <v>273.03399999999999</v>
      </c>
      <c r="BB12" s="374">
        <v>330.09300000000002</v>
      </c>
      <c r="BC12" s="374">
        <v>275.01</v>
      </c>
      <c r="BD12" s="374">
        <v>410.49900000000002</v>
      </c>
      <c r="BE12" s="511">
        <f>BA12+BB12+BC12+BD12</f>
        <v>1288.636</v>
      </c>
      <c r="BF12" s="374">
        <v>284.25200000000001</v>
      </c>
      <c r="BG12" s="374">
        <v>344.64100000000002</v>
      </c>
      <c r="BH12" s="374">
        <v>288.06400000000002</v>
      </c>
      <c r="BI12" s="374">
        <v>415.15899999999999</v>
      </c>
      <c r="BJ12" s="511">
        <f>BF12+BG12+BH12+BI12</f>
        <v>1332.116</v>
      </c>
      <c r="BK12" s="374">
        <v>306.91899999999998</v>
      </c>
      <c r="BL12" s="374">
        <v>361.238</v>
      </c>
      <c r="BM12" s="374"/>
      <c r="BN12" s="374"/>
      <c r="BO12" s="511">
        <f>BK12+BL12+BM12+BN12</f>
        <v>668.15699999999993</v>
      </c>
      <c r="BR12" s="943"/>
    </row>
    <row r="13" spans="1:70" ht="31.5" thickBot="1">
      <c r="A13"/>
      <c r="B13" s="364" t="s">
        <v>694</v>
      </c>
      <c r="C13" s="364" t="s">
        <v>695</v>
      </c>
      <c r="D13" s="365"/>
      <c r="E13" s="365"/>
      <c r="F13" s="366"/>
      <c r="G13" s="367"/>
      <c r="H13" s="365"/>
      <c r="I13" s="365"/>
      <c r="J13" s="365"/>
      <c r="K13" s="366"/>
      <c r="L13" s="367"/>
      <c r="M13" s="365"/>
      <c r="N13" s="365"/>
      <c r="O13" s="365"/>
      <c r="P13" s="366"/>
      <c r="Q13" s="367"/>
      <c r="R13" s="365"/>
      <c r="S13" s="365"/>
      <c r="T13" s="365"/>
      <c r="U13" s="366"/>
      <c r="V13" s="367"/>
      <c r="W13" s="365"/>
      <c r="X13" s="365"/>
      <c r="Y13" s="365"/>
      <c r="Z13" s="366"/>
      <c r="AA13" s="367"/>
      <c r="AB13" s="365"/>
      <c r="AC13" s="365"/>
      <c r="AD13" s="365"/>
      <c r="AE13" s="366"/>
      <c r="AF13" s="367"/>
      <c r="AG13" s="369">
        <f>AG12/AG11</f>
        <v>0.27007226013649138</v>
      </c>
      <c r="AH13" s="370">
        <f t="shared" ref="AH13:AT13" si="0">AH12/AH11</f>
        <v>0.26740993427073795</v>
      </c>
      <c r="AI13" s="370">
        <f t="shared" si="0"/>
        <v>0.27624182631639327</v>
      </c>
      <c r="AJ13" s="370">
        <f t="shared" si="0"/>
        <v>0.27849721427495855</v>
      </c>
      <c r="AK13" s="504">
        <f t="shared" si="0"/>
        <v>0.27313446409894959</v>
      </c>
      <c r="AL13" s="369">
        <f t="shared" si="0"/>
        <v>0.28024026512013256</v>
      </c>
      <c r="AM13" s="370">
        <f t="shared" si="0"/>
        <v>0.26994017946161514</v>
      </c>
      <c r="AN13" s="370">
        <f t="shared" si="0"/>
        <v>0.28135555055167755</v>
      </c>
      <c r="AO13" s="370">
        <f t="shared" si="0"/>
        <v>0.28624102098169341</v>
      </c>
      <c r="AP13" s="504">
        <f t="shared" si="0"/>
        <v>0.27944729506247395</v>
      </c>
      <c r="AQ13" s="369">
        <f t="shared" si="0"/>
        <v>0.28135475518899872</v>
      </c>
      <c r="AR13" s="370">
        <f t="shared" si="0"/>
        <v>0.27361521655314225</v>
      </c>
      <c r="AS13" s="370">
        <f t="shared" si="0"/>
        <v>0.28158488615714394</v>
      </c>
      <c r="AT13" s="371">
        <f t="shared" si="0"/>
        <v>0.28555454462873431</v>
      </c>
      <c r="AU13" s="504">
        <f>AU12/AU11</f>
        <v>0.28136081601072532</v>
      </c>
      <c r="AV13" s="370">
        <f t="shared" ref="AV13:BJ13" si="1">AV12/AV11</f>
        <v>0.28409786540733478</v>
      </c>
      <c r="AW13" s="370">
        <f>ROUNDUP(AW12/AW11,3)</f>
        <v>0.27700000000000002</v>
      </c>
      <c r="AX13" s="370">
        <f t="shared" si="1"/>
        <v>0.28200478696527714</v>
      </c>
      <c r="AY13" s="371">
        <f t="shared" si="1"/>
        <v>0.27733263839192768</v>
      </c>
      <c r="AZ13" s="504">
        <f t="shared" si="1"/>
        <v>0.27963717139356764</v>
      </c>
      <c r="BA13" s="370">
        <f t="shared" si="1"/>
        <v>0.28146413222424849</v>
      </c>
      <c r="BB13" s="370">
        <f t="shared" si="1"/>
        <v>0.28625628502399542</v>
      </c>
      <c r="BC13" s="370">
        <f t="shared" si="1"/>
        <v>0.29326704672693887</v>
      </c>
      <c r="BD13" s="370">
        <f t="shared" si="1"/>
        <v>0.28348693229100125</v>
      </c>
      <c r="BE13" s="504">
        <f t="shared" si="1"/>
        <v>0.28579399986870613</v>
      </c>
      <c r="BF13" s="370">
        <f t="shared" si="1"/>
        <v>0.28384780073175797</v>
      </c>
      <c r="BG13" s="370">
        <f t="shared" si="1"/>
        <v>0.28331120655993758</v>
      </c>
      <c r="BH13" s="370">
        <f t="shared" si="1"/>
        <v>0.29039119503702676</v>
      </c>
      <c r="BI13" s="370">
        <f t="shared" si="1"/>
        <v>0.2855473462520961</v>
      </c>
      <c r="BJ13" s="504">
        <f t="shared" si="1"/>
        <v>0.28562943751124359</v>
      </c>
      <c r="BK13" s="370">
        <f t="shared" ref="BK13:BO13" si="2">BK12/BK11</f>
        <v>0.28105028831282286</v>
      </c>
      <c r="BL13" s="370">
        <f t="shared" si="2"/>
        <v>0.28091641282903307</v>
      </c>
      <c r="BM13" s="370" t="e">
        <f t="shared" si="2"/>
        <v>#DIV/0!</v>
      </c>
      <c r="BN13" s="370" t="e">
        <f t="shared" si="2"/>
        <v>#DIV/0!</v>
      </c>
      <c r="BO13" s="504">
        <f t="shared" si="2"/>
        <v>0.28097789290865738</v>
      </c>
    </row>
    <row r="14" spans="1:70" ht="14.5">
      <c r="A1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7"/>
      <c r="AH14" s="147"/>
      <c r="AI14" s="147"/>
      <c r="AJ14" s="147"/>
      <c r="AK14" s="147"/>
      <c r="AL14" s="147"/>
      <c r="AM14" s="147"/>
      <c r="AN14" s="147"/>
      <c r="AO14" s="147"/>
      <c r="AP14" s="147"/>
      <c r="AQ14" s="147"/>
      <c r="AR14" s="147"/>
      <c r="AS14" s="147"/>
      <c r="AT14" s="147"/>
      <c r="AU14" s="147"/>
      <c r="AV14" s="191"/>
      <c r="AW14" s="147"/>
      <c r="AX14" s="147"/>
      <c r="AY14" s="147"/>
      <c r="AZ14" s="147"/>
      <c r="BA14" s="191"/>
      <c r="BB14" s="147"/>
      <c r="BC14" s="147"/>
      <c r="BD14" s="147"/>
      <c r="BE14" s="147"/>
      <c r="BF14" s="191"/>
      <c r="BG14" s="147"/>
      <c r="BH14" s="147"/>
      <c r="BI14" s="147"/>
      <c r="BJ14" s="147"/>
      <c r="BK14" s="191"/>
      <c r="BL14" s="147"/>
      <c r="BM14" s="147"/>
      <c r="BN14" s="147"/>
      <c r="BO14" s="147"/>
    </row>
    <row r="15" spans="1:70" s="135" customFormat="1" hidden="1">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P15"/>
      <c r="AU15"/>
      <c r="AV15" s="192"/>
      <c r="AZ15"/>
      <c r="BA15" s="192"/>
      <c r="BE15"/>
      <c r="BF15" s="192"/>
      <c r="BJ15"/>
      <c r="BK15" s="192"/>
      <c r="BO15"/>
    </row>
    <row r="16" spans="1:70" s="135" customFormat="1" hidden="1">
      <c r="B16" s="149"/>
      <c r="C16" s="149"/>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149"/>
      <c r="AH16" s="149"/>
      <c r="AI16" s="149"/>
      <c r="AK16"/>
      <c r="AP16"/>
      <c r="AU16"/>
      <c r="AZ16"/>
      <c r="BE16"/>
      <c r="BJ16"/>
      <c r="BO16"/>
    </row>
    <row r="17" spans="2:67" s="150" customFormat="1" ht="27.75" customHeight="1">
      <c r="B17" s="377" t="s">
        <v>696</v>
      </c>
      <c r="C17" s="377" t="s">
        <v>697</v>
      </c>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43"/>
      <c r="AG17" s="2"/>
      <c r="AH17" s="2"/>
      <c r="AI17" s="2"/>
      <c r="AJ17" s="135"/>
      <c r="AK17"/>
      <c r="AL17" s="135"/>
      <c r="AM17" s="135"/>
      <c r="AN17" s="135"/>
      <c r="AO17" s="135"/>
      <c r="AP17"/>
      <c r="AU17" s="355"/>
      <c r="AZ17" s="355"/>
      <c r="BE17" s="355"/>
      <c r="BJ17" s="355"/>
      <c r="BO17" s="355"/>
    </row>
    <row r="18" spans="2:67" s="150" customFormat="1" ht="27.75" customHeight="1" thickBot="1">
      <c r="B18" s="151" t="s">
        <v>698</v>
      </c>
      <c r="C18" s="151" t="s">
        <v>699</v>
      </c>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2"/>
      <c r="AH18" s="2"/>
      <c r="AI18" s="2"/>
      <c r="AJ18" s="135"/>
      <c r="AK18"/>
      <c r="AL18" s="135"/>
      <c r="AM18" s="135"/>
      <c r="AN18" s="135"/>
      <c r="AO18" s="135"/>
      <c r="AP18"/>
      <c r="AU18" s="355"/>
      <c r="AZ18" s="355"/>
      <c r="BE18" s="355"/>
      <c r="BJ18" s="355"/>
      <c r="BO18" s="355"/>
    </row>
    <row r="19" spans="2:67" s="378" customFormat="1" ht="20.25" customHeight="1" thickBot="1">
      <c r="B19" s="1017" t="s">
        <v>700</v>
      </c>
      <c r="C19" s="1019" t="s">
        <v>701</v>
      </c>
      <c r="D19" s="1021"/>
      <c r="E19" s="1022"/>
      <c r="F19" s="1022"/>
      <c r="G19" s="1023"/>
      <c r="H19" s="1021"/>
      <c r="I19" s="1022"/>
      <c r="J19" s="1022"/>
      <c r="K19" s="1022"/>
      <c r="L19" s="1023"/>
      <c r="M19" s="1021"/>
      <c r="N19" s="1022"/>
      <c r="O19" s="1022"/>
      <c r="P19" s="1022"/>
      <c r="Q19" s="1023"/>
      <c r="R19" s="1021"/>
      <c r="S19" s="1022"/>
      <c r="T19" s="1022"/>
      <c r="U19" s="1022"/>
      <c r="V19" s="1023"/>
      <c r="W19" s="1021"/>
      <c r="X19" s="1022"/>
      <c r="Y19" s="1022"/>
      <c r="Z19" s="1022"/>
      <c r="AA19" s="1023"/>
      <c r="AB19" s="1021"/>
      <c r="AC19" s="1022"/>
      <c r="AD19" s="1022"/>
      <c r="AE19" s="1022"/>
      <c r="AF19" s="1023"/>
      <c r="AG19" s="1005">
        <v>2018</v>
      </c>
      <c r="AH19" s="1006"/>
      <c r="AI19" s="1006"/>
      <c r="AJ19" s="1006"/>
      <c r="AK19" s="1007">
        <v>2018</v>
      </c>
      <c r="AL19" s="1005">
        <v>2019</v>
      </c>
      <c r="AM19" s="1006"/>
      <c r="AN19" s="1006"/>
      <c r="AO19" s="1006"/>
      <c r="AP19" s="1007">
        <v>2019</v>
      </c>
      <c r="AQ19" s="1005">
        <v>2020</v>
      </c>
      <c r="AR19" s="1006"/>
      <c r="AS19" s="1006"/>
      <c r="AT19" s="1006"/>
      <c r="AU19" s="1007">
        <v>2020</v>
      </c>
      <c r="AV19" s="1005">
        <f>AV2</f>
        <v>2021</v>
      </c>
      <c r="AW19" s="1006"/>
      <c r="AX19" s="1006"/>
      <c r="AY19" s="1006"/>
      <c r="AZ19" s="1007" t="s">
        <v>673</v>
      </c>
      <c r="BA19" s="1005">
        <f>BA2</f>
        <v>2022</v>
      </c>
      <c r="BB19" s="1006"/>
      <c r="BC19" s="1006"/>
      <c r="BD19" s="1006"/>
      <c r="BE19" s="1007" t="s">
        <v>674</v>
      </c>
      <c r="BF19" s="1005">
        <f>BF2</f>
        <v>2023</v>
      </c>
      <c r="BG19" s="1006"/>
      <c r="BH19" s="1006"/>
      <c r="BI19" s="1006"/>
      <c r="BJ19" s="1007" t="s">
        <v>675</v>
      </c>
      <c r="BK19" s="1005">
        <f>BK2</f>
        <v>2024</v>
      </c>
      <c r="BL19" s="1006"/>
      <c r="BM19" s="1006"/>
      <c r="BN19" s="1006"/>
      <c r="BO19" s="1007" t="s">
        <v>675</v>
      </c>
    </row>
    <row r="20" spans="2:67" s="379" customFormat="1" ht="20.25" customHeight="1" thickBot="1">
      <c r="B20" s="1018"/>
      <c r="C20" s="1020"/>
      <c r="D20" s="359"/>
      <c r="E20" s="360"/>
      <c r="F20" s="360"/>
      <c r="G20" s="1024"/>
      <c r="H20" s="359"/>
      <c r="I20" s="360"/>
      <c r="J20" s="360"/>
      <c r="K20" s="360"/>
      <c r="L20" s="1024"/>
      <c r="M20" s="359"/>
      <c r="N20" s="360"/>
      <c r="O20" s="360"/>
      <c r="P20" s="360"/>
      <c r="Q20" s="1024"/>
      <c r="R20" s="359"/>
      <c r="S20" s="360"/>
      <c r="T20" s="360"/>
      <c r="U20" s="360"/>
      <c r="V20" s="1024"/>
      <c r="W20" s="359"/>
      <c r="X20" s="360"/>
      <c r="Y20" s="360"/>
      <c r="Z20" s="360"/>
      <c r="AA20" s="1024"/>
      <c r="AB20" s="359"/>
      <c r="AC20" s="360"/>
      <c r="AD20" s="360"/>
      <c r="AE20" s="360"/>
      <c r="AF20" s="1024"/>
      <c r="AG20" s="357" t="s">
        <v>617</v>
      </c>
      <c r="AH20" s="358" t="s">
        <v>618</v>
      </c>
      <c r="AI20" s="358" t="s">
        <v>619</v>
      </c>
      <c r="AJ20" s="358" t="s">
        <v>620</v>
      </c>
      <c r="AK20" s="1008"/>
      <c r="AL20" s="357" t="s">
        <v>617</v>
      </c>
      <c r="AM20" s="358" t="s">
        <v>618</v>
      </c>
      <c r="AN20" s="358" t="s">
        <v>619</v>
      </c>
      <c r="AO20" s="358" t="s">
        <v>620</v>
      </c>
      <c r="AP20" s="1008"/>
      <c r="AQ20" s="357" t="s">
        <v>617</v>
      </c>
      <c r="AR20" s="358" t="s">
        <v>618</v>
      </c>
      <c r="AS20" s="358" t="s">
        <v>619</v>
      </c>
      <c r="AT20" s="358" t="s">
        <v>620</v>
      </c>
      <c r="AU20" s="1008"/>
      <c r="AV20" s="357" t="s">
        <v>617</v>
      </c>
      <c r="AW20" s="358" t="s">
        <v>618</v>
      </c>
      <c r="AX20" s="358" t="s">
        <v>619</v>
      </c>
      <c r="AY20" s="358" t="s">
        <v>620</v>
      </c>
      <c r="AZ20" s="1008"/>
      <c r="BA20" s="357" t="s">
        <v>617</v>
      </c>
      <c r="BB20" s="358" t="s">
        <v>618</v>
      </c>
      <c r="BC20" s="358" t="s">
        <v>619</v>
      </c>
      <c r="BD20" s="358" t="s">
        <v>620</v>
      </c>
      <c r="BE20" s="1008"/>
      <c r="BF20" s="357" t="s">
        <v>617</v>
      </c>
      <c r="BG20" s="358" t="s">
        <v>618</v>
      </c>
      <c r="BH20" s="358" t="s">
        <v>619</v>
      </c>
      <c r="BI20" s="358" t="s">
        <v>620</v>
      </c>
      <c r="BJ20" s="1008"/>
      <c r="BK20" s="357" t="s">
        <v>617</v>
      </c>
      <c r="BL20" s="358" t="s">
        <v>618</v>
      </c>
      <c r="BM20" s="358" t="s">
        <v>619</v>
      </c>
      <c r="BN20" s="358" t="s">
        <v>620</v>
      </c>
      <c r="BO20" s="1008"/>
    </row>
    <row r="21" spans="2:67" s="157" customFormat="1" ht="23.15" customHeight="1">
      <c r="B21" s="152" t="s">
        <v>702</v>
      </c>
      <c r="C21" s="152" t="s">
        <v>703</v>
      </c>
      <c r="D21" s="154"/>
      <c r="E21" s="154"/>
      <c r="F21" s="154"/>
      <c r="G21" s="348"/>
      <c r="H21" s="154"/>
      <c r="I21" s="154"/>
      <c r="J21" s="154"/>
      <c r="K21" s="154"/>
      <c r="L21" s="348"/>
      <c r="M21" s="154"/>
      <c r="N21" s="154"/>
      <c r="O21" s="154"/>
      <c r="P21" s="154"/>
      <c r="Q21" s="348"/>
      <c r="R21" s="154"/>
      <c r="S21" s="154"/>
      <c r="T21" s="154"/>
      <c r="U21" s="154"/>
      <c r="V21" s="348"/>
      <c r="W21" s="154"/>
      <c r="X21" s="154"/>
      <c r="Y21" s="154"/>
      <c r="Z21" s="154"/>
      <c r="AA21" s="348"/>
      <c r="AB21" s="154"/>
      <c r="AC21" s="154"/>
      <c r="AD21" s="154"/>
      <c r="AE21" s="154"/>
      <c r="AF21" s="348"/>
      <c r="AG21" s="155">
        <v>8.9575186666666706</v>
      </c>
      <c r="AH21" s="155">
        <v>9.2269073333333296</v>
      </c>
      <c r="AI21" s="155">
        <v>8.9584399999999995</v>
      </c>
      <c r="AJ21" s="155">
        <v>8.6488606666666694</v>
      </c>
      <c r="AK21" s="512">
        <v>8.9479316666666708</v>
      </c>
      <c r="AL21" s="155">
        <v>9.0586716666666707</v>
      </c>
      <c r="AM21" s="155">
        <v>9.5436246666666662</v>
      </c>
      <c r="AN21" s="155">
        <v>9.9339253333333346</v>
      </c>
      <c r="AO21" s="155">
        <v>9.897098333333334</v>
      </c>
      <c r="AP21" s="512">
        <v>9.6083300000000005</v>
      </c>
      <c r="AQ21" s="155">
        <v>9.8268776666666646</v>
      </c>
      <c r="AR21" s="155">
        <v>10.836056000000001</v>
      </c>
      <c r="AS21" s="156">
        <v>18.484831</v>
      </c>
      <c r="AT21" s="163">
        <v>19.728791999999999</v>
      </c>
      <c r="AU21" s="512">
        <f>AVERAGE(AQ21:AT21)</f>
        <v>14.719139166666666</v>
      </c>
      <c r="AV21" s="156">
        <v>20.181743999999998</v>
      </c>
      <c r="AW21" s="156">
        <v>20.329488000000001</v>
      </c>
      <c r="AX21" s="156">
        <v>19.864871999999998</v>
      </c>
      <c r="AY21" s="156">
        <v>20.539062000000001</v>
      </c>
      <c r="AZ21" s="515">
        <f>AVERAGE(AV21:AY21)</f>
        <v>20.2287915</v>
      </c>
      <c r="BA21" s="156">
        <v>21.168755999999998</v>
      </c>
      <c r="BB21" s="156">
        <v>20.781953999999999</v>
      </c>
      <c r="BC21" s="156">
        <v>20.450285999999998</v>
      </c>
      <c r="BD21" s="156">
        <v>21.187601999999998</v>
      </c>
      <c r="BE21" s="795">
        <f>AVERAGE(BA21:BD21)</f>
        <v>20.897149499999998</v>
      </c>
      <c r="BF21" s="156">
        <v>21.172428</v>
      </c>
      <c r="BG21" s="156">
        <v>20.955024000000002</v>
      </c>
      <c r="BH21" s="156">
        <v>20.53782</v>
      </c>
      <c r="BI21" s="156">
        <v>20.8</v>
      </c>
      <c r="BJ21" s="795">
        <f>AVERAGE(BF21:BI21)</f>
        <v>20.866318</v>
      </c>
      <c r="BK21" s="156">
        <v>20.953782</v>
      </c>
      <c r="BL21" s="156">
        <v>20.380625999999999</v>
      </c>
      <c r="BM21" s="156"/>
      <c r="BN21" s="156"/>
      <c r="BO21" s="795">
        <f>AVERAGE(BK21:BN21)</f>
        <v>20.667203999999998</v>
      </c>
    </row>
    <row r="22" spans="2:67" s="159" customFormat="1" ht="23.15" customHeight="1">
      <c r="B22" s="953" t="s">
        <v>704</v>
      </c>
      <c r="C22" s="953" t="s">
        <v>705</v>
      </c>
      <c r="D22" s="145"/>
      <c r="E22" s="145"/>
      <c r="F22" s="145"/>
      <c r="G22" s="348"/>
      <c r="H22" s="145"/>
      <c r="I22" s="145"/>
      <c r="J22" s="145"/>
      <c r="K22" s="145"/>
      <c r="L22" s="348"/>
      <c r="M22" s="145"/>
      <c r="N22" s="145"/>
      <c r="O22" s="145"/>
      <c r="P22" s="145"/>
      <c r="Q22" s="348"/>
      <c r="R22" s="145"/>
      <c r="S22" s="145"/>
      <c r="T22" s="145"/>
      <c r="U22" s="145"/>
      <c r="V22" s="348"/>
      <c r="W22" s="145"/>
      <c r="X22" s="145"/>
      <c r="Y22" s="145"/>
      <c r="Z22" s="145"/>
      <c r="AA22" s="348"/>
      <c r="AB22" s="145"/>
      <c r="AC22" s="145"/>
      <c r="AD22" s="145"/>
      <c r="AE22" s="145"/>
      <c r="AF22" s="348"/>
      <c r="AG22" s="158">
        <v>21.2333173333333</v>
      </c>
      <c r="AH22" s="158">
        <v>20.898015999999998</v>
      </c>
      <c r="AI22" s="158">
        <v>20.942602666666701</v>
      </c>
      <c r="AJ22" s="158">
        <v>21.839365666666701</v>
      </c>
      <c r="AK22" s="513">
        <v>21.228325416666699</v>
      </c>
      <c r="AL22" s="158">
        <v>22.457554666666667</v>
      </c>
      <c r="AM22" s="158">
        <v>21.564558000000002</v>
      </c>
      <c r="AN22" s="158">
        <v>20.811750666666669</v>
      </c>
      <c r="AO22" s="158">
        <v>21.400824666666669</v>
      </c>
      <c r="AP22" s="513">
        <v>21.558671999999998</v>
      </c>
      <c r="AQ22" s="158">
        <v>21.740159999999999</v>
      </c>
      <c r="AR22" s="158">
        <v>21.146581999999999</v>
      </c>
      <c r="AS22" s="158">
        <v>20.966215666666667</v>
      </c>
      <c r="AT22" s="164">
        <v>21.769559999999998</v>
      </c>
      <c r="AU22" s="513">
        <f>AVERAGE(AQ22:AT22)</f>
        <v>21.405629416666667</v>
      </c>
      <c r="AV22" s="158">
        <v>21.706271999999998</v>
      </c>
      <c r="AW22" s="158">
        <v>21.781169999999999</v>
      </c>
      <c r="AX22" s="158">
        <v>21.017016000000002</v>
      </c>
      <c r="AY22" s="158">
        <v>21.063780000000001</v>
      </c>
      <c r="AZ22" s="513">
        <f>AVERAGE(AV22:AY22)</f>
        <v>21.392059500000002</v>
      </c>
      <c r="BA22" s="158">
        <v>22.066668</v>
      </c>
      <c r="BB22" s="158">
        <v>21.783384000000002</v>
      </c>
      <c r="BC22" s="158">
        <v>22.015961999999998</v>
      </c>
      <c r="BD22" s="158">
        <v>22.645872000000001</v>
      </c>
      <c r="BE22" s="513">
        <f>AVERAGE(BA22:BD22)</f>
        <v>22.127971500000001</v>
      </c>
      <c r="BF22" s="158">
        <v>23.164596</v>
      </c>
      <c r="BG22" s="158">
        <v>22.845293999999999</v>
      </c>
      <c r="BH22" s="158">
        <v>21.37077</v>
      </c>
      <c r="BI22" s="158">
        <v>21.1</v>
      </c>
      <c r="BJ22" s="513">
        <f>AVERAGE(BF22:BI22)</f>
        <v>22.120165</v>
      </c>
      <c r="BK22" s="158">
        <v>21.105899999999998</v>
      </c>
      <c r="BL22" s="158">
        <v>20.518380000000001</v>
      </c>
      <c r="BM22" s="158"/>
      <c r="BN22" s="158"/>
      <c r="BO22" s="513">
        <f>AVERAGE(BK22:BN22)</f>
        <v>20.812139999999999</v>
      </c>
    </row>
    <row r="23" spans="2:67" s="159" customFormat="1" ht="23.15" customHeight="1">
      <c r="B23" s="953" t="s">
        <v>706</v>
      </c>
      <c r="C23" s="953" t="s">
        <v>707</v>
      </c>
      <c r="D23" s="139"/>
      <c r="E23" s="139"/>
      <c r="F23" s="139"/>
      <c r="G23" s="348"/>
      <c r="H23" s="139"/>
      <c r="I23" s="139"/>
      <c r="J23" s="139"/>
      <c r="K23" s="139"/>
      <c r="L23" s="348"/>
      <c r="M23" s="139"/>
      <c r="N23" s="139"/>
      <c r="O23" s="139"/>
      <c r="P23" s="139"/>
      <c r="Q23" s="348"/>
      <c r="R23" s="139"/>
      <c r="S23" s="139"/>
      <c r="T23" s="139"/>
      <c r="U23" s="139"/>
      <c r="V23" s="348"/>
      <c r="W23" s="139"/>
      <c r="X23" s="139"/>
      <c r="Y23" s="139"/>
      <c r="Z23" s="139"/>
      <c r="AA23" s="348"/>
      <c r="AB23" s="139"/>
      <c r="AC23" s="139"/>
      <c r="AD23" s="139"/>
      <c r="AE23" s="139"/>
      <c r="AF23" s="348"/>
      <c r="AG23" s="158">
        <v>21.468349</v>
      </c>
      <c r="AH23" s="158">
        <v>20.808209333333298</v>
      </c>
      <c r="AI23" s="158">
        <v>20.612301333333299</v>
      </c>
      <c r="AJ23" s="158">
        <v>21.082352</v>
      </c>
      <c r="AK23" s="513">
        <v>20.992802916666701</v>
      </c>
      <c r="AL23" s="158">
        <v>21.450856666666667</v>
      </c>
      <c r="AM23" s="158">
        <v>20.752137333333334</v>
      </c>
      <c r="AN23" s="158">
        <v>20.033246999999999</v>
      </c>
      <c r="AO23" s="158">
        <v>20.897084333333332</v>
      </c>
      <c r="AP23" s="513">
        <v>20.783331333333333</v>
      </c>
      <c r="AQ23" s="158">
        <v>21.910613000000001</v>
      </c>
      <c r="AR23" s="158">
        <v>21.920766666666665</v>
      </c>
      <c r="AS23" s="158">
        <v>20.933972666666669</v>
      </c>
      <c r="AT23" s="164">
        <v>21.592872</v>
      </c>
      <c r="AU23" s="513">
        <f t="shared" ref="AU23:AU25" si="3">AVERAGE(AQ23:AT23)</f>
        <v>21.589556083333335</v>
      </c>
      <c r="AV23" s="158">
        <v>21.562200000000001</v>
      </c>
      <c r="AW23" s="158">
        <v>21.70017</v>
      </c>
      <c r="AX23" s="158">
        <v>22.279806000000001</v>
      </c>
      <c r="AY23" s="158">
        <v>23.346792000000001</v>
      </c>
      <c r="AZ23" s="513">
        <f t="shared" ref="AZ23:AZ25" si="4">AVERAGE(AV23:AY23)</f>
        <v>22.222242000000001</v>
      </c>
      <c r="BA23" s="158">
        <v>22.519566000000001</v>
      </c>
      <c r="BB23" s="158">
        <v>21.660533999999998</v>
      </c>
      <c r="BC23" s="158">
        <v>21.742937999999999</v>
      </c>
      <c r="BD23" s="158">
        <v>22.101606</v>
      </c>
      <c r="BE23" s="513">
        <f>AVERAGE(BA23:BD23)</f>
        <v>22.006160999999999</v>
      </c>
      <c r="BF23" s="158">
        <v>22.138757999999999</v>
      </c>
      <c r="BG23" s="158">
        <v>21.514247999999998</v>
      </c>
      <c r="BH23" s="158">
        <v>20.962152</v>
      </c>
      <c r="BI23" s="158">
        <v>21.2</v>
      </c>
      <c r="BJ23" s="513">
        <f>AVERAGE(BF23:BI23)</f>
        <v>21.453789499999999</v>
      </c>
      <c r="BK23" s="158">
        <v>20.714238000000002</v>
      </c>
      <c r="BL23" s="158">
        <v>20.173428000000001</v>
      </c>
      <c r="BM23" s="158"/>
      <c r="BN23" s="158"/>
      <c r="BO23" s="513">
        <f>AVERAGE(BK23:BN23)</f>
        <v>20.443833000000001</v>
      </c>
    </row>
    <row r="24" spans="2:67" s="159" customFormat="1" ht="23.15" customHeight="1">
      <c r="B24" s="953" t="s">
        <v>708</v>
      </c>
      <c r="C24" s="953" t="s">
        <v>709</v>
      </c>
      <c r="D24" s="352"/>
      <c r="E24" s="352"/>
      <c r="F24" s="899"/>
      <c r="G24" s="348"/>
      <c r="H24" s="352"/>
      <c r="I24" s="352"/>
      <c r="J24" s="899"/>
      <c r="K24" s="899"/>
      <c r="L24" s="348"/>
      <c r="M24" s="352"/>
      <c r="N24" s="352"/>
      <c r="O24" s="899"/>
      <c r="P24" s="899"/>
      <c r="Q24" s="348"/>
      <c r="R24" s="352"/>
      <c r="S24" s="352"/>
      <c r="T24" s="899"/>
      <c r="U24" s="899"/>
      <c r="V24" s="348"/>
      <c r="W24" s="352"/>
      <c r="X24" s="352"/>
      <c r="Y24" s="899"/>
      <c r="Z24" s="899"/>
      <c r="AA24" s="348"/>
      <c r="AB24" s="352"/>
      <c r="AC24" s="352"/>
      <c r="AD24" s="899"/>
      <c r="AE24" s="899"/>
      <c r="AF24" s="348"/>
      <c r="AG24" s="895">
        <v>15.9318236666667</v>
      </c>
      <c r="AH24" s="895">
        <v>15.865494</v>
      </c>
      <c r="AI24" s="895">
        <v>16.060423333333301</v>
      </c>
      <c r="AJ24" s="895">
        <v>17.065826666666698</v>
      </c>
      <c r="AK24" s="513">
        <v>16.2308919166667</v>
      </c>
      <c r="AL24" s="895">
        <v>17.787435666666667</v>
      </c>
      <c r="AM24" s="895">
        <v>16.994359333333335</v>
      </c>
      <c r="AN24" s="895">
        <v>16.433279333333335</v>
      </c>
      <c r="AO24" s="895">
        <v>17.680521000000002</v>
      </c>
      <c r="AP24" s="513">
        <v>17.223898833333333</v>
      </c>
      <c r="AQ24" s="895">
        <v>18.596202000000002</v>
      </c>
      <c r="AR24" s="895">
        <v>17.204713999999999</v>
      </c>
      <c r="AS24" s="895">
        <v>15.98324</v>
      </c>
      <c r="AT24" s="895">
        <v>17.756712</v>
      </c>
      <c r="AU24" s="513">
        <f t="shared" si="3"/>
        <v>17.385217000000001</v>
      </c>
      <c r="AV24" s="158">
        <v>17.12556</v>
      </c>
      <c r="AW24" s="158">
        <v>16.734383999999999</v>
      </c>
      <c r="AX24" s="158">
        <v>16.549271999999998</v>
      </c>
      <c r="AY24" s="158">
        <v>17.245547999999999</v>
      </c>
      <c r="AZ24" s="513">
        <f t="shared" si="4"/>
        <v>16.913691</v>
      </c>
      <c r="BA24" s="158">
        <v>17.649467999999999</v>
      </c>
      <c r="BB24" s="158">
        <v>17.706437999999999</v>
      </c>
      <c r="BC24" s="158">
        <v>17.554212</v>
      </c>
      <c r="BD24" s="158">
        <v>18.561095999999999</v>
      </c>
      <c r="BE24" s="513">
        <f>AVERAGE(BA24:BD24)</f>
        <v>17.867803500000001</v>
      </c>
      <c r="BF24" s="158">
        <v>18.665154000000001</v>
      </c>
      <c r="BG24" s="158">
        <v>17.358246000000001</v>
      </c>
      <c r="BH24" s="158">
        <v>17.206398</v>
      </c>
      <c r="BI24" s="158">
        <v>18.899999999999999</v>
      </c>
      <c r="BJ24" s="513">
        <f>AVERAGE(BF24:BI24)</f>
        <v>18.032449499999998</v>
      </c>
      <c r="BK24" s="158">
        <v>16.645878</v>
      </c>
      <c r="BL24" s="158">
        <v>16.181424</v>
      </c>
      <c r="BM24" s="158"/>
      <c r="BN24" s="158"/>
      <c r="BO24" s="513">
        <f>AVERAGE(BK24:BN24)</f>
        <v>16.413651000000002</v>
      </c>
    </row>
    <row r="25" spans="2:67" s="159" customFormat="1" ht="23.15" customHeight="1" thickBot="1">
      <c r="B25" s="954" t="s">
        <v>710</v>
      </c>
      <c r="C25" s="954" t="s">
        <v>711</v>
      </c>
      <c r="D25" s="710"/>
      <c r="E25" s="710"/>
      <c r="F25" s="955"/>
      <c r="G25" s="349"/>
      <c r="H25" s="710"/>
      <c r="I25" s="710"/>
      <c r="J25" s="955"/>
      <c r="K25" s="955"/>
      <c r="L25" s="349"/>
      <c r="M25" s="710"/>
      <c r="N25" s="710"/>
      <c r="O25" s="955"/>
      <c r="P25" s="955"/>
      <c r="Q25" s="349"/>
      <c r="R25" s="710"/>
      <c r="S25" s="710"/>
      <c r="T25" s="955"/>
      <c r="U25" s="955"/>
      <c r="V25" s="349"/>
      <c r="W25" s="710"/>
      <c r="X25" s="710"/>
      <c r="Y25" s="955"/>
      <c r="Z25" s="955"/>
      <c r="AA25" s="349"/>
      <c r="AB25" s="710"/>
      <c r="AC25" s="710"/>
      <c r="AD25" s="955"/>
      <c r="AE25" s="955"/>
      <c r="AF25" s="349"/>
      <c r="AG25" s="956">
        <v>16.4260943333333</v>
      </c>
      <c r="AH25" s="956">
        <v>15.977968000000001</v>
      </c>
      <c r="AI25" s="956">
        <v>16.207808</v>
      </c>
      <c r="AJ25" s="956">
        <v>17.236224666666701</v>
      </c>
      <c r="AK25" s="514">
        <v>16.46202375</v>
      </c>
      <c r="AL25" s="956">
        <v>17.738139</v>
      </c>
      <c r="AM25" s="956">
        <v>16.633941666666665</v>
      </c>
      <c r="AN25" s="956">
        <v>15.505186333333333</v>
      </c>
      <c r="AO25" s="956">
        <v>16.117697666666668</v>
      </c>
      <c r="AP25" s="514">
        <v>16.498741166666665</v>
      </c>
      <c r="AQ25" s="956">
        <v>16.987466000000001</v>
      </c>
      <c r="AR25" s="711">
        <v>16.000780333333335</v>
      </c>
      <c r="AS25" s="711">
        <v>14.976542333333335</v>
      </c>
      <c r="AT25" s="956">
        <v>17.669664000000001</v>
      </c>
      <c r="AU25" s="514">
        <f t="shared" si="3"/>
        <v>16.408613166666669</v>
      </c>
      <c r="AV25" s="716">
        <v>17.595576000000001</v>
      </c>
      <c r="AW25" s="716">
        <v>17.638991999999998</v>
      </c>
      <c r="AX25" s="716">
        <v>17.396370000000001</v>
      </c>
      <c r="AY25" s="716">
        <v>17.984159999999999</v>
      </c>
      <c r="AZ25" s="718">
        <f t="shared" si="4"/>
        <v>17.653774500000001</v>
      </c>
      <c r="BA25" s="716">
        <v>18.547865999999999</v>
      </c>
      <c r="BB25" s="716">
        <v>17.891604000000001</v>
      </c>
      <c r="BC25" s="716">
        <v>17.8767</v>
      </c>
      <c r="BD25" s="716">
        <v>18.523350000000001</v>
      </c>
      <c r="BE25" s="514">
        <f>AVERAGE(BA25:BD25)</f>
        <v>18.209879999999998</v>
      </c>
      <c r="BF25" s="716">
        <v>18.543654</v>
      </c>
      <c r="BG25" s="716">
        <v>19.430226000000001</v>
      </c>
      <c r="BH25" s="716">
        <v>18.916632</v>
      </c>
      <c r="BI25" s="716">
        <v>18.600000000000001</v>
      </c>
      <c r="BJ25" s="514">
        <f>AVERAGE(BF25:BI25)</f>
        <v>18.872627999999999</v>
      </c>
      <c r="BK25" s="716">
        <v>18.027684000000001</v>
      </c>
      <c r="BL25" s="716">
        <v>16.980029999999999</v>
      </c>
      <c r="BM25" s="716"/>
      <c r="BN25" s="716"/>
      <c r="BO25" s="514">
        <f>AVERAGE(BK25:BN25)</f>
        <v>17.503857</v>
      </c>
    </row>
    <row r="26" spans="2:67" s="135" customFormat="1" ht="20.149999999999999"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row>
    <row r="27" spans="2:67" s="135" customFormat="1" ht="27.75" customHeight="1" thickBot="1">
      <c r="B27" s="160" t="s">
        <v>712</v>
      </c>
      <c r="C27" s="160" t="s">
        <v>713</v>
      </c>
      <c r="D27" s="353"/>
      <c r="E27" s="353"/>
      <c r="F27" s="353"/>
      <c r="G27" s="353"/>
      <c r="H27" s="353"/>
      <c r="I27" s="353"/>
      <c r="J27" s="353"/>
      <c r="K27" s="353"/>
      <c r="L27" s="353"/>
      <c r="M27" s="353"/>
      <c r="N27" s="353"/>
      <c r="O27" s="353"/>
      <c r="P27" s="353"/>
      <c r="Q27" s="353"/>
      <c r="R27" s="353"/>
      <c r="S27" s="353"/>
      <c r="T27" s="353"/>
      <c r="U27" s="353"/>
      <c r="V27" s="353"/>
      <c r="W27" s="353"/>
      <c r="X27" s="353"/>
      <c r="Y27" s="353"/>
      <c r="Z27" s="353"/>
      <c r="AA27" s="353"/>
      <c r="AB27" s="353"/>
      <c r="AC27" s="353"/>
      <c r="AD27" s="353"/>
      <c r="AE27" s="353"/>
      <c r="AF27" s="353"/>
      <c r="AK27"/>
      <c r="AP27"/>
      <c r="AU27"/>
      <c r="AZ27"/>
      <c r="BE27"/>
      <c r="BJ27"/>
      <c r="BO27"/>
    </row>
    <row r="28" spans="2:67" s="380" customFormat="1" ht="20.25" customHeight="1">
      <c r="B28" s="1017" t="s">
        <v>714</v>
      </c>
      <c r="C28" s="1017" t="s">
        <v>715</v>
      </c>
      <c r="D28" s="1005"/>
      <c r="E28" s="1006"/>
      <c r="F28" s="1006"/>
      <c r="G28" s="1007"/>
      <c r="H28" s="1005"/>
      <c r="I28" s="1006"/>
      <c r="J28" s="1006"/>
      <c r="K28" s="1006"/>
      <c r="L28" s="1007"/>
      <c r="M28" s="1005"/>
      <c r="N28" s="1006"/>
      <c r="O28" s="1006"/>
      <c r="P28" s="1006"/>
      <c r="Q28" s="1007"/>
      <c r="R28" s="1005"/>
      <c r="S28" s="1006"/>
      <c r="T28" s="1006"/>
      <c r="U28" s="1006"/>
      <c r="V28" s="1007"/>
      <c r="W28" s="1005"/>
      <c r="X28" s="1006"/>
      <c r="Y28" s="1006"/>
      <c r="Z28" s="1006"/>
      <c r="AA28" s="1007"/>
      <c r="AB28" s="1005"/>
      <c r="AC28" s="1006"/>
      <c r="AD28" s="1006"/>
      <c r="AE28" s="1006"/>
      <c r="AF28" s="1007"/>
      <c r="AG28" s="1005">
        <v>2018</v>
      </c>
      <c r="AH28" s="1006"/>
      <c r="AI28" s="1006"/>
      <c r="AJ28" s="1006"/>
      <c r="AK28" s="1007">
        <v>2018</v>
      </c>
      <c r="AL28" s="1005">
        <v>2019</v>
      </c>
      <c r="AM28" s="1006"/>
      <c r="AN28" s="1006"/>
      <c r="AO28" s="1006"/>
      <c r="AP28" s="1007">
        <v>2019</v>
      </c>
      <c r="AQ28" s="1005">
        <v>2020</v>
      </c>
      <c r="AR28" s="1006"/>
      <c r="AS28" s="1006"/>
      <c r="AT28" s="1006"/>
      <c r="AU28" s="1007">
        <v>2020</v>
      </c>
      <c r="AV28" s="1005">
        <f>AV2</f>
        <v>2021</v>
      </c>
      <c r="AW28" s="1006"/>
      <c r="AX28" s="1006"/>
      <c r="AY28" s="1006"/>
      <c r="AZ28" s="1007" t="s">
        <v>673</v>
      </c>
      <c r="BA28" s="1005">
        <f>BA2</f>
        <v>2022</v>
      </c>
      <c r="BB28" s="1006"/>
      <c r="BC28" s="1006"/>
      <c r="BD28" s="1006"/>
      <c r="BE28" s="1007" t="s">
        <v>674</v>
      </c>
      <c r="BF28" s="1005">
        <f>BF2</f>
        <v>2023</v>
      </c>
      <c r="BG28" s="1006"/>
      <c r="BH28" s="1006"/>
      <c r="BI28" s="1006"/>
      <c r="BJ28" s="1007" t="s">
        <v>716</v>
      </c>
      <c r="BK28" s="1005">
        <f>BK2</f>
        <v>2024</v>
      </c>
      <c r="BL28" s="1006"/>
      <c r="BM28" s="1006"/>
      <c r="BN28" s="1006"/>
      <c r="BO28" s="1007" t="s">
        <v>716</v>
      </c>
    </row>
    <row r="29" spans="2:67" s="381" customFormat="1" ht="20.25" customHeight="1" thickBot="1">
      <c r="B29" s="1018"/>
      <c r="C29" s="1018"/>
      <c r="D29" s="357"/>
      <c r="E29" s="358"/>
      <c r="F29" s="358"/>
      <c r="G29" s="1008"/>
      <c r="H29" s="357"/>
      <c r="I29" s="358"/>
      <c r="J29" s="358"/>
      <c r="K29" s="358"/>
      <c r="L29" s="1008"/>
      <c r="M29" s="357"/>
      <c r="N29" s="358"/>
      <c r="O29" s="358"/>
      <c r="P29" s="358"/>
      <c r="Q29" s="1008"/>
      <c r="R29" s="357"/>
      <c r="S29" s="358"/>
      <c r="T29" s="358"/>
      <c r="U29" s="358"/>
      <c r="V29" s="1008"/>
      <c r="W29" s="357"/>
      <c r="X29" s="358"/>
      <c r="Y29" s="358"/>
      <c r="Z29" s="358"/>
      <c r="AA29" s="1008"/>
      <c r="AB29" s="357"/>
      <c r="AC29" s="358"/>
      <c r="AD29" s="358"/>
      <c r="AE29" s="358"/>
      <c r="AF29" s="1008"/>
      <c r="AG29" s="357" t="s">
        <v>617</v>
      </c>
      <c r="AH29" s="358" t="s">
        <v>618</v>
      </c>
      <c r="AI29" s="358" t="s">
        <v>619</v>
      </c>
      <c r="AJ29" s="358" t="s">
        <v>620</v>
      </c>
      <c r="AK29" s="1008"/>
      <c r="AL29" s="357" t="s">
        <v>617</v>
      </c>
      <c r="AM29" s="358" t="s">
        <v>618</v>
      </c>
      <c r="AN29" s="358" t="s">
        <v>619</v>
      </c>
      <c r="AO29" s="358" t="s">
        <v>620</v>
      </c>
      <c r="AP29" s="1008"/>
      <c r="AQ29" s="357" t="s">
        <v>617</v>
      </c>
      <c r="AR29" s="358" t="s">
        <v>618</v>
      </c>
      <c r="AS29" s="358" t="s">
        <v>619</v>
      </c>
      <c r="AT29" s="358" t="s">
        <v>620</v>
      </c>
      <c r="AU29" s="1008"/>
      <c r="AV29" s="357" t="s">
        <v>617</v>
      </c>
      <c r="AW29" s="358" t="s">
        <v>618</v>
      </c>
      <c r="AX29" s="358" t="s">
        <v>619</v>
      </c>
      <c r="AY29" s="358" t="s">
        <v>620</v>
      </c>
      <c r="AZ29" s="1008"/>
      <c r="BA29" s="357" t="s">
        <v>617</v>
      </c>
      <c r="BB29" s="358" t="s">
        <v>618</v>
      </c>
      <c r="BC29" s="358" t="s">
        <v>619</v>
      </c>
      <c r="BD29" s="358" t="s">
        <v>620</v>
      </c>
      <c r="BE29" s="1008"/>
      <c r="BF29" s="357" t="s">
        <v>617</v>
      </c>
      <c r="BG29" s="358" t="s">
        <v>618</v>
      </c>
      <c r="BH29" s="358" t="s">
        <v>619</v>
      </c>
      <c r="BI29" s="358" t="s">
        <v>620</v>
      </c>
      <c r="BJ29" s="1008"/>
      <c r="BK29" s="357" t="s">
        <v>617</v>
      </c>
      <c r="BL29" s="358" t="s">
        <v>618</v>
      </c>
      <c r="BM29" s="358" t="s">
        <v>619</v>
      </c>
      <c r="BN29" s="358" t="s">
        <v>620</v>
      </c>
      <c r="BO29" s="1008"/>
    </row>
    <row r="30" spans="2:67" s="162" customFormat="1" ht="20.149999999999999" customHeight="1">
      <c r="B30" s="152" t="s">
        <v>717</v>
      </c>
      <c r="C30" s="152" t="s">
        <v>718</v>
      </c>
      <c r="D30" s="154"/>
      <c r="E30" s="154"/>
      <c r="F30" s="154"/>
      <c r="G30" s="348"/>
      <c r="H30" s="154"/>
      <c r="I30" s="154"/>
      <c r="J30" s="154"/>
      <c r="K30" s="154"/>
      <c r="L30" s="348"/>
      <c r="M30" s="154"/>
      <c r="N30" s="154"/>
      <c r="O30" s="154"/>
      <c r="P30" s="154"/>
      <c r="Q30" s="348"/>
      <c r="R30" s="154"/>
      <c r="S30" s="154"/>
      <c r="T30" s="154"/>
      <c r="U30" s="154"/>
      <c r="V30" s="348"/>
      <c r="W30" s="154"/>
      <c r="X30" s="154"/>
      <c r="Y30" s="154"/>
      <c r="Z30" s="154"/>
      <c r="AA30" s="348"/>
      <c r="AB30" s="154"/>
      <c r="AC30" s="154"/>
      <c r="AD30" s="154"/>
      <c r="AE30" s="154"/>
      <c r="AF30" s="348"/>
      <c r="AG30" s="161">
        <v>119.246591</v>
      </c>
      <c r="AH30" s="161">
        <v>122.659119</v>
      </c>
      <c r="AI30" s="161">
        <v>115.47829</v>
      </c>
      <c r="AJ30" s="161">
        <v>124.290809</v>
      </c>
      <c r="AK30" s="519">
        <v>120.418702</v>
      </c>
      <c r="AL30" s="161">
        <v>141.89801766666699</v>
      </c>
      <c r="AM30" s="161">
        <v>142.39620733333334</v>
      </c>
      <c r="AN30" s="161">
        <v>147.647065</v>
      </c>
      <c r="AO30" s="161">
        <v>147.21163000000001</v>
      </c>
      <c r="AP30" s="519">
        <v>144.52833590909091</v>
      </c>
      <c r="AQ30" s="161">
        <v>156.99415033333335</v>
      </c>
      <c r="AR30" s="161">
        <v>175.901262</v>
      </c>
      <c r="AS30" s="153">
        <v>1489.1514456666669</v>
      </c>
      <c r="AT30" s="154">
        <v>1713.2906539999999</v>
      </c>
      <c r="AU30" s="519">
        <f>AVERAGE(AQ30:AT30)</f>
        <v>883.83437800000002</v>
      </c>
      <c r="AV30" s="153">
        <v>1739.0040570000001</v>
      </c>
      <c r="AW30" s="153">
        <v>2028.1014210000001</v>
      </c>
      <c r="AX30" s="153">
        <v>1995.4577059999999</v>
      </c>
      <c r="AY30" s="153">
        <v>1963.315611</v>
      </c>
      <c r="AZ30" s="516">
        <f>AVERAGE(AV30:AY30)</f>
        <v>1931.4696987500001</v>
      </c>
      <c r="BA30" s="153">
        <v>2170.3631930000001</v>
      </c>
      <c r="BB30" s="153">
        <v>2022.7836483333333</v>
      </c>
      <c r="BC30" s="153">
        <v>1970.2891830000001</v>
      </c>
      <c r="BD30" s="153">
        <v>2016.2877403333332</v>
      </c>
      <c r="BE30" s="516">
        <f>AVERAGE(BA30:BD30)</f>
        <v>2044.9309411666666</v>
      </c>
      <c r="BF30" s="153">
        <v>1937.6943776666667</v>
      </c>
      <c r="BG30" s="153">
        <v>1901.3941786666667</v>
      </c>
      <c r="BH30" s="153">
        <v>1943.9644653333332</v>
      </c>
      <c r="BI30" s="153">
        <v>1981.9090626666668</v>
      </c>
      <c r="BJ30" s="516">
        <f>AVERAGE(BF30:BI30)</f>
        <v>1941.2405210833333</v>
      </c>
      <c r="BK30" s="153">
        <v>1925.8604773333332</v>
      </c>
      <c r="BL30" s="153">
        <v>1808.4986039999999</v>
      </c>
      <c r="BM30" s="153"/>
      <c r="BN30" s="153"/>
      <c r="BO30" s="516">
        <f>AVERAGE(BK30:BN30)</f>
        <v>1867.1795406666665</v>
      </c>
    </row>
    <row r="31" spans="2:67" s="135" customFormat="1" ht="20.149999999999999" customHeight="1">
      <c r="B31" s="953" t="s">
        <v>704</v>
      </c>
      <c r="C31" s="953" t="s">
        <v>705</v>
      </c>
      <c r="D31" s="145"/>
      <c r="E31" s="145"/>
      <c r="F31" s="145"/>
      <c r="G31" s="348"/>
      <c r="H31" s="145"/>
      <c r="I31" s="145"/>
      <c r="J31" s="145"/>
      <c r="K31" s="145"/>
      <c r="L31" s="348"/>
      <c r="M31" s="145"/>
      <c r="N31" s="145"/>
      <c r="O31" s="145"/>
      <c r="P31" s="145"/>
      <c r="Q31" s="348"/>
      <c r="R31" s="145"/>
      <c r="S31" s="145"/>
      <c r="T31" s="145"/>
      <c r="U31" s="145"/>
      <c r="V31" s="348"/>
      <c r="W31" s="145"/>
      <c r="X31" s="145"/>
      <c r="Y31" s="145"/>
      <c r="Z31" s="145"/>
      <c r="AA31" s="348"/>
      <c r="AB31" s="145"/>
      <c r="AC31" s="145"/>
      <c r="AD31" s="145"/>
      <c r="AE31" s="145"/>
      <c r="AF31" s="348"/>
      <c r="AG31" s="94">
        <v>3986.0391209999998</v>
      </c>
      <c r="AH31" s="94">
        <v>2843.8153569999999</v>
      </c>
      <c r="AI31" s="94">
        <v>2795.8327979999999</v>
      </c>
      <c r="AJ31" s="94">
        <v>2824.1565719999999</v>
      </c>
      <c r="AK31" s="517">
        <v>3112.4609620000001</v>
      </c>
      <c r="AL31" s="94">
        <v>3067.8559336666667</v>
      </c>
      <c r="AM31" s="94">
        <v>2816.4148613333336</v>
      </c>
      <c r="AN31" s="94">
        <v>2891.7096685000001</v>
      </c>
      <c r="AO31" s="94">
        <v>2865.860862</v>
      </c>
      <c r="AP31" s="517">
        <v>2912.164937090909</v>
      </c>
      <c r="AQ31" s="94">
        <v>3348.4315183333333</v>
      </c>
      <c r="AR31" s="94">
        <v>3454.8804993333333</v>
      </c>
      <c r="AS31" s="94">
        <v>2850.2637966666666</v>
      </c>
      <c r="AT31" s="145">
        <v>3489.1977529999999</v>
      </c>
      <c r="AU31" s="517">
        <f>AVERAGE(AQ31:AT31)</f>
        <v>3285.6933918333334</v>
      </c>
      <c r="AV31" s="94">
        <v>3448.092208</v>
      </c>
      <c r="AW31" s="94">
        <v>3363.2307430000001</v>
      </c>
      <c r="AX31" s="94">
        <v>3250.0863800000002</v>
      </c>
      <c r="AY31" s="94">
        <v>3592.842443</v>
      </c>
      <c r="AZ31" s="517">
        <f>AVERAGE(AV31:AY31)</f>
        <v>3413.5629435000001</v>
      </c>
      <c r="BA31" s="94">
        <v>4208.8861299999999</v>
      </c>
      <c r="BB31" s="94">
        <v>3907.9663673333334</v>
      </c>
      <c r="BC31" s="94">
        <v>3675.5723446666666</v>
      </c>
      <c r="BD31" s="94">
        <v>3774.7006889999998</v>
      </c>
      <c r="BE31" s="517">
        <f>AVERAGE(BA31:BD31)</f>
        <v>3891.7813827499999</v>
      </c>
      <c r="BF31" s="94">
        <v>3714.641404</v>
      </c>
      <c r="BG31" s="94">
        <v>3368.0013926666666</v>
      </c>
      <c r="BH31" s="94">
        <v>3294.5533236666665</v>
      </c>
      <c r="BI31" s="94">
        <v>3598.3460009999999</v>
      </c>
      <c r="BJ31" s="517">
        <f>AVERAGE(BF31:BI31)</f>
        <v>3493.8855303333335</v>
      </c>
      <c r="BK31" s="94">
        <v>3564.7950786666665</v>
      </c>
      <c r="BL31" s="94">
        <v>3194.4056190000001</v>
      </c>
      <c r="BM31" s="94"/>
      <c r="BN31" s="94"/>
      <c r="BO31" s="517">
        <f>AVERAGE(BK31:BN31)</f>
        <v>3379.6003488333336</v>
      </c>
    </row>
    <row r="32" spans="2:67" s="135" customFormat="1" ht="20.149999999999999" customHeight="1">
      <c r="B32" s="953" t="s">
        <v>706</v>
      </c>
      <c r="C32" s="953" t="s">
        <v>707</v>
      </c>
      <c r="D32" s="139"/>
      <c r="E32" s="139"/>
      <c r="F32" s="139"/>
      <c r="G32" s="348"/>
      <c r="H32" s="139"/>
      <c r="I32" s="139"/>
      <c r="J32" s="139"/>
      <c r="K32" s="139"/>
      <c r="L32" s="348"/>
      <c r="M32" s="139"/>
      <c r="N32" s="139"/>
      <c r="O32" s="139"/>
      <c r="P32" s="139"/>
      <c r="Q32" s="348"/>
      <c r="R32" s="139"/>
      <c r="S32" s="139"/>
      <c r="T32" s="139"/>
      <c r="U32" s="139"/>
      <c r="V32" s="348"/>
      <c r="W32" s="139"/>
      <c r="X32" s="139"/>
      <c r="Y32" s="139"/>
      <c r="Z32" s="139"/>
      <c r="AA32" s="348"/>
      <c r="AB32" s="139"/>
      <c r="AC32" s="139"/>
      <c r="AD32" s="139"/>
      <c r="AE32" s="139"/>
      <c r="AF32" s="348"/>
      <c r="AG32" s="94">
        <v>3147.101705</v>
      </c>
      <c r="AH32" s="94">
        <v>2634.622558</v>
      </c>
      <c r="AI32" s="94">
        <v>2262.472448</v>
      </c>
      <c r="AJ32" s="94">
        <v>1989.323279</v>
      </c>
      <c r="AK32" s="517">
        <v>2508.379997</v>
      </c>
      <c r="AL32" s="94">
        <v>2306.4432736666663</v>
      </c>
      <c r="AM32" s="94">
        <v>2056.0130949999998</v>
      </c>
      <c r="AN32" s="94">
        <v>2009.5032535</v>
      </c>
      <c r="AO32" s="94">
        <v>2040.8401793333333</v>
      </c>
      <c r="AP32" s="517">
        <v>2111.7178319090908</v>
      </c>
      <c r="AQ32" s="94">
        <v>2424.047912</v>
      </c>
      <c r="AR32" s="94">
        <v>2514.4230903333337</v>
      </c>
      <c r="AS32" s="94">
        <v>2247.1015526666665</v>
      </c>
      <c r="AT32" s="145">
        <v>2523.0223740000001</v>
      </c>
      <c r="AU32" s="517">
        <f t="shared" ref="AU32:AU34" si="5">AVERAGE(AQ32:AT32)</f>
        <v>2427.1487322500002</v>
      </c>
      <c r="AV32" s="94">
        <v>2360.7921510000001</v>
      </c>
      <c r="AW32" s="94">
        <v>2293.3762510000001</v>
      </c>
      <c r="AX32" s="94">
        <v>2353.431529</v>
      </c>
      <c r="AY32" s="94">
        <v>2488.5984250000001</v>
      </c>
      <c r="AZ32" s="517">
        <f t="shared" ref="AZ32:AZ34" si="6">AVERAGE(AV32:AY32)</f>
        <v>2374.0495890000002</v>
      </c>
      <c r="BA32" s="94">
        <v>3253.3832609999999</v>
      </c>
      <c r="BB32" s="94">
        <v>2762.1132349999998</v>
      </c>
      <c r="BC32" s="94">
        <v>2627.8295539999999</v>
      </c>
      <c r="BD32" s="94">
        <v>2698.7417666666665</v>
      </c>
      <c r="BE32" s="517">
        <f>AVERAGE(BA32:BD32)</f>
        <v>2835.5169541666664</v>
      </c>
      <c r="BF32" s="94">
        <v>2675.1429913333336</v>
      </c>
      <c r="BG32" s="94">
        <v>2433.421331</v>
      </c>
      <c r="BH32" s="94">
        <v>2428.8323660000001</v>
      </c>
      <c r="BI32" s="94">
        <v>2752.8977966666666</v>
      </c>
      <c r="BJ32" s="517">
        <f>AVERAGE(BF32:BI32)</f>
        <v>2572.5736212500001</v>
      </c>
      <c r="BK32" s="94">
        <v>2671.5144916666663</v>
      </c>
      <c r="BL32" s="94">
        <v>2485.0086373333334</v>
      </c>
      <c r="BM32" s="94"/>
      <c r="BN32" s="94"/>
      <c r="BO32" s="517">
        <f>AVERAGE(BK32:BN32)</f>
        <v>2578.2615644999996</v>
      </c>
    </row>
    <row r="33" spans="2:67" s="135" customFormat="1" ht="20.149999999999999" customHeight="1">
      <c r="B33" s="953" t="s">
        <v>708</v>
      </c>
      <c r="C33" s="953" t="s">
        <v>709</v>
      </c>
      <c r="D33" s="352"/>
      <c r="E33" s="352"/>
      <c r="F33" s="899"/>
      <c r="G33" s="348"/>
      <c r="H33" s="352"/>
      <c r="I33" s="352"/>
      <c r="J33" s="899"/>
      <c r="K33" s="899"/>
      <c r="L33" s="348"/>
      <c r="M33" s="352"/>
      <c r="N33" s="352"/>
      <c r="O33" s="899"/>
      <c r="P33" s="899"/>
      <c r="Q33" s="348"/>
      <c r="R33" s="352"/>
      <c r="S33" s="352"/>
      <c r="T33" s="899"/>
      <c r="U33" s="899"/>
      <c r="V33" s="348"/>
      <c r="W33" s="352"/>
      <c r="X33" s="352"/>
      <c r="Y33" s="899"/>
      <c r="Z33" s="899"/>
      <c r="AA33" s="348"/>
      <c r="AB33" s="352"/>
      <c r="AC33" s="352"/>
      <c r="AD33" s="899"/>
      <c r="AE33" s="899"/>
      <c r="AF33" s="348"/>
      <c r="AG33" s="957">
        <v>496.51288099999999</v>
      </c>
      <c r="AH33" s="957">
        <v>494.34597000000002</v>
      </c>
      <c r="AI33" s="957">
        <v>475.84753799999999</v>
      </c>
      <c r="AJ33" s="957">
        <v>550.75379799999996</v>
      </c>
      <c r="AK33" s="517">
        <v>504.365047</v>
      </c>
      <c r="AL33" s="957">
        <v>653.34457066666664</v>
      </c>
      <c r="AM33" s="957">
        <v>688.13588766666658</v>
      </c>
      <c r="AN33" s="957">
        <v>704.99070133333339</v>
      </c>
      <c r="AO33" s="957">
        <v>733.35113000000001</v>
      </c>
      <c r="AP33" s="517">
        <v>694.95557241666666</v>
      </c>
      <c r="AQ33" s="957">
        <v>908.30737366666665</v>
      </c>
      <c r="AR33" s="957">
        <v>796.95762233333335</v>
      </c>
      <c r="AS33" s="957">
        <v>826.83673199999998</v>
      </c>
      <c r="AT33" s="145">
        <v>914.32968500000004</v>
      </c>
      <c r="AU33" s="517">
        <f t="shared" si="5"/>
        <v>861.60785324999995</v>
      </c>
      <c r="AV33" s="957">
        <v>918.73843299999999</v>
      </c>
      <c r="AW33" s="957">
        <v>816.42182000000003</v>
      </c>
      <c r="AX33" s="957">
        <v>824.29132700000002</v>
      </c>
      <c r="AY33" s="957">
        <v>859.91131800000005</v>
      </c>
      <c r="AZ33" s="517">
        <f t="shared" si="6"/>
        <v>854.84072449999996</v>
      </c>
      <c r="BA33" s="957">
        <v>830.924621</v>
      </c>
      <c r="BB33" s="957">
        <v>832.0364933333334</v>
      </c>
      <c r="BC33" s="957">
        <v>777.37135566666666</v>
      </c>
      <c r="BD33" s="957">
        <v>861.91970433333336</v>
      </c>
      <c r="BE33" s="517">
        <f>AVERAGE(BA33:BD33)</f>
        <v>825.56304358333341</v>
      </c>
      <c r="BF33" s="957">
        <v>1022.4914056666667</v>
      </c>
      <c r="BG33" s="957">
        <v>674.50910599999997</v>
      </c>
      <c r="BH33" s="957">
        <v>690.1505566666666</v>
      </c>
      <c r="BI33" s="957">
        <v>935.58436700000004</v>
      </c>
      <c r="BJ33" s="517">
        <f>AVERAGE(BF33:BI33)</f>
        <v>830.68385883333326</v>
      </c>
      <c r="BK33" s="957">
        <v>865.02938099999994</v>
      </c>
      <c r="BL33" s="957">
        <v>797.89691933333336</v>
      </c>
      <c r="BM33" s="957"/>
      <c r="BN33" s="957"/>
      <c r="BO33" s="517">
        <f>AVERAGE(BK33:BN33)</f>
        <v>831.46315016666665</v>
      </c>
    </row>
    <row r="34" spans="2:67" s="135" customFormat="1" ht="20.149999999999999" customHeight="1" thickBot="1">
      <c r="B34" s="954" t="s">
        <v>710</v>
      </c>
      <c r="C34" s="954" t="s">
        <v>711</v>
      </c>
      <c r="D34" s="710"/>
      <c r="E34" s="710"/>
      <c r="F34" s="955"/>
      <c r="G34" s="349"/>
      <c r="H34" s="710"/>
      <c r="I34" s="710"/>
      <c r="J34" s="955"/>
      <c r="K34" s="955"/>
      <c r="L34" s="349"/>
      <c r="M34" s="710"/>
      <c r="N34" s="710"/>
      <c r="O34" s="955"/>
      <c r="P34" s="955"/>
      <c r="Q34" s="349"/>
      <c r="R34" s="710"/>
      <c r="S34" s="710"/>
      <c r="T34" s="955"/>
      <c r="U34" s="955"/>
      <c r="V34" s="349"/>
      <c r="W34" s="710"/>
      <c r="X34" s="710"/>
      <c r="Y34" s="955"/>
      <c r="Z34" s="955"/>
      <c r="AA34" s="349"/>
      <c r="AB34" s="710"/>
      <c r="AC34" s="710"/>
      <c r="AD34" s="955"/>
      <c r="AE34" s="955"/>
      <c r="AF34" s="349"/>
      <c r="AG34" s="958">
        <v>701.28572999999994</v>
      </c>
      <c r="AH34" s="958">
        <v>632.023324</v>
      </c>
      <c r="AI34" s="958">
        <v>599.56303200000002</v>
      </c>
      <c r="AJ34" s="958">
        <v>627.25341200000003</v>
      </c>
      <c r="AK34" s="518">
        <v>640.03137500000003</v>
      </c>
      <c r="AL34" s="958">
        <v>652.00119633333338</v>
      </c>
      <c r="AM34" s="958">
        <v>532.50463433333334</v>
      </c>
      <c r="AN34" s="958">
        <v>542.2565065</v>
      </c>
      <c r="AO34" s="958">
        <v>522.11580900000001</v>
      </c>
      <c r="AP34" s="518">
        <v>564.03435745454544</v>
      </c>
      <c r="AQ34" s="958">
        <v>645.25113733333342</v>
      </c>
      <c r="AR34" s="712">
        <v>585.152736</v>
      </c>
      <c r="AS34" s="712">
        <v>505.00412899999998</v>
      </c>
      <c r="AT34" s="713">
        <v>608.30699400000003</v>
      </c>
      <c r="AU34" s="518">
        <f t="shared" si="5"/>
        <v>585.92874908333329</v>
      </c>
      <c r="AV34" s="717">
        <v>589.85531400000002</v>
      </c>
      <c r="AW34" s="717">
        <v>572.48614299999997</v>
      </c>
      <c r="AX34" s="717">
        <v>605.14870599999995</v>
      </c>
      <c r="AY34" s="717">
        <v>608.22494300000005</v>
      </c>
      <c r="AZ34" s="719">
        <f t="shared" si="6"/>
        <v>593.92877650000003</v>
      </c>
      <c r="BA34" s="717">
        <v>708.24070340000003</v>
      </c>
      <c r="BB34" s="717">
        <v>574.09954033333338</v>
      </c>
      <c r="BC34" s="717">
        <v>594.76668800000004</v>
      </c>
      <c r="BD34" s="717">
        <v>671.62155900000005</v>
      </c>
      <c r="BE34" s="719">
        <f>AVERAGE(BA34:BD34)</f>
        <v>637.18212268333343</v>
      </c>
      <c r="BF34" s="717">
        <v>663.36616300000003</v>
      </c>
      <c r="BG34" s="717">
        <v>669.95557933333339</v>
      </c>
      <c r="BH34" s="717">
        <v>833.66920233333337</v>
      </c>
      <c r="BI34" s="717">
        <v>761.94536466666659</v>
      </c>
      <c r="BJ34" s="719">
        <f>AVERAGE(BF34:BI34)</f>
        <v>732.2340773333334</v>
      </c>
      <c r="BK34" s="717">
        <v>905.88883066666665</v>
      </c>
      <c r="BL34" s="717">
        <v>860.33346233333339</v>
      </c>
      <c r="BM34" s="717"/>
      <c r="BN34" s="717"/>
      <c r="BO34" s="719">
        <f>AVERAGE(BK34:BN34)</f>
        <v>883.11114650000002</v>
      </c>
    </row>
    <row r="35" spans="2:67" s="135" customFormat="1" ht="20.149999999999999"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7" s="135" customFormat="1" ht="252">
      <c r="B36" s="148" t="s">
        <v>719</v>
      </c>
      <c r="C36" s="148" t="s">
        <v>720</v>
      </c>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K36"/>
      <c r="AP36"/>
      <c r="AR36"/>
      <c r="AS36" s="186"/>
      <c r="AT36" s="186"/>
      <c r="AU36"/>
      <c r="AW36"/>
      <c r="AX36" s="186"/>
      <c r="AY36" s="186"/>
      <c r="AZ36"/>
      <c r="BB36"/>
      <c r="BC36" s="186"/>
      <c r="BD36" s="186"/>
      <c r="BE36"/>
      <c r="BG36"/>
      <c r="BH36" s="186"/>
      <c r="BI36" s="186"/>
      <c r="BJ36"/>
    </row>
    <row r="66" spans="1:40">
      <c r="A66"/>
      <c r="AM66"/>
      <c r="AN66"/>
    </row>
    <row r="67" spans="1:40">
      <c r="A67"/>
      <c r="AM67"/>
      <c r="AN67"/>
    </row>
  </sheetData>
  <mergeCells count="84">
    <mergeCell ref="AK28:AK29"/>
    <mergeCell ref="AL28:AO28"/>
    <mergeCell ref="BF28:BI28"/>
    <mergeCell ref="BJ28:BJ29"/>
    <mergeCell ref="AQ28:AT28"/>
    <mergeCell ref="AU28:AU29"/>
    <mergeCell ref="AV28:AY28"/>
    <mergeCell ref="AZ28:AZ29"/>
    <mergeCell ref="BA28:BD28"/>
    <mergeCell ref="BE28:BE29"/>
    <mergeCell ref="W28:Z28"/>
    <mergeCell ref="AA28:AA29"/>
    <mergeCell ref="AB28:AE28"/>
    <mergeCell ref="AF28:AF29"/>
    <mergeCell ref="AG28:AJ28"/>
    <mergeCell ref="B28:B29"/>
    <mergeCell ref="C28:C29"/>
    <mergeCell ref="D28:F28"/>
    <mergeCell ref="G28:G29"/>
    <mergeCell ref="H28:K28"/>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F19:BI19"/>
    <mergeCell ref="BJ19:BJ20"/>
    <mergeCell ref="AG19:AJ19"/>
    <mergeCell ref="AK19:AK20"/>
    <mergeCell ref="AL19:AO19"/>
    <mergeCell ref="AP19:AP20"/>
    <mergeCell ref="AQ19:AT19"/>
    <mergeCell ref="AU19:AU20"/>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AP2:AP3"/>
    <mergeCell ref="M2:P2"/>
    <mergeCell ref="Q2:Q3"/>
    <mergeCell ref="R2:U2"/>
    <mergeCell ref="V2:V3"/>
    <mergeCell ref="W2:Z2"/>
    <mergeCell ref="AA2:AA3"/>
    <mergeCell ref="AB2:AE2"/>
    <mergeCell ref="AF2:AF3"/>
    <mergeCell ref="AG2:AJ2"/>
    <mergeCell ref="AK2:AK3"/>
    <mergeCell ref="AL2:AO2"/>
    <mergeCell ref="L2:L3"/>
    <mergeCell ref="B2:B3"/>
    <mergeCell ref="C2:C3"/>
    <mergeCell ref="D2:F2"/>
    <mergeCell ref="G2:G3"/>
    <mergeCell ref="H2:K2"/>
    <mergeCell ref="BK2:BN2"/>
    <mergeCell ref="BO2:BO3"/>
    <mergeCell ref="BK19:BN19"/>
    <mergeCell ref="BO19:BO20"/>
    <mergeCell ref="BK28:BN28"/>
    <mergeCell ref="BO28:BO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8"/>
  <sheetViews>
    <sheetView showGridLines="0" zoomScale="85" zoomScaleNormal="85" zoomScaleSheetLayoutView="100" workbookViewId="0">
      <pane xSplit="2" topLeftCell="N1" activePane="topRight" state="frozen"/>
      <selection pane="topRight" activeCell="N5" sqref="N5"/>
    </sheetView>
  </sheetViews>
  <sheetFormatPr defaultColWidth="9" defaultRowHeight="14.5"/>
  <cols>
    <col min="1" max="1" width="43.1640625" style="166" customWidth="1"/>
    <col min="2" max="2" width="42.4140625" style="166" customWidth="1"/>
    <col min="3" max="3" width="9.1640625" style="165" bestFit="1" customWidth="1"/>
    <col min="4" max="7" width="9" style="165"/>
    <col min="8" max="8" width="9.1640625" style="165" bestFit="1" customWidth="1"/>
    <col min="9" max="10" width="9" style="165"/>
    <col min="11" max="11" width="9.6640625" style="165" bestFit="1" customWidth="1"/>
    <col min="12" max="431" width="9" style="165"/>
    <col min="432" max="16384" width="9" style="166"/>
  </cols>
  <sheetData>
    <row r="1" spans="1:431" ht="89.25" customHeight="1">
      <c r="A1" s="2"/>
      <c r="B1" s="3"/>
      <c r="C1" s="945"/>
      <c r="D1" s="945"/>
      <c r="E1" s="945"/>
      <c r="F1" s="945"/>
      <c r="G1" s="945"/>
      <c r="H1" s="945"/>
      <c r="I1" s="945"/>
      <c r="J1" s="945"/>
      <c r="K1" s="945"/>
      <c r="L1" s="945"/>
      <c r="M1" s="945"/>
      <c r="N1" s="945"/>
      <c r="O1" s="945"/>
      <c r="P1" s="945"/>
      <c r="Q1" s="945"/>
      <c r="R1" s="945"/>
      <c r="S1" s="945"/>
      <c r="T1" s="945"/>
      <c r="U1" s="945"/>
      <c r="V1" s="945"/>
      <c r="W1" s="945"/>
      <c r="X1" s="945"/>
      <c r="Y1" s="945"/>
      <c r="Z1" s="945"/>
      <c r="AA1" s="945"/>
      <c r="AB1" s="945"/>
      <c r="AC1" s="945"/>
      <c r="AD1" s="945"/>
      <c r="AE1" s="945"/>
      <c r="AF1" s="945"/>
      <c r="AG1" s="945"/>
      <c r="AH1" s="945"/>
      <c r="AI1" s="945"/>
      <c r="AJ1" s="945"/>
      <c r="AK1" s="945"/>
      <c r="AL1" s="945"/>
      <c r="AM1" s="945"/>
      <c r="AN1" s="945"/>
      <c r="AO1" s="945"/>
      <c r="AP1" s="945"/>
      <c r="AQ1" s="945"/>
      <c r="AR1" s="945"/>
      <c r="AS1" s="945"/>
      <c r="AT1" s="945"/>
      <c r="AU1" s="945"/>
      <c r="AV1" s="945"/>
      <c r="AW1" s="945"/>
      <c r="AX1" s="945"/>
      <c r="AY1" s="945"/>
      <c r="AZ1" s="945"/>
      <c r="BA1" s="945"/>
      <c r="BB1" s="945"/>
      <c r="BC1" s="945"/>
      <c r="BD1" s="945"/>
      <c r="BE1" s="945"/>
      <c r="BF1" s="945"/>
      <c r="BG1" s="945"/>
      <c r="BH1" s="945"/>
      <c r="BI1" s="945"/>
      <c r="BJ1" s="945"/>
      <c r="BK1" s="945"/>
      <c r="BL1" s="945"/>
      <c r="BM1" s="945"/>
      <c r="BN1" s="945"/>
      <c r="BO1" s="945"/>
      <c r="BP1" s="945"/>
      <c r="BQ1" s="945"/>
      <c r="BR1" s="945"/>
      <c r="BS1" s="945"/>
      <c r="BT1" s="945"/>
      <c r="BU1" s="945"/>
      <c r="BV1" s="945"/>
      <c r="BW1" s="945"/>
      <c r="BX1" s="945"/>
      <c r="BY1" s="945"/>
      <c r="BZ1" s="945"/>
      <c r="CA1" s="945"/>
      <c r="CB1" s="945"/>
      <c r="CC1" s="945"/>
      <c r="CD1" s="945"/>
      <c r="CE1" s="945"/>
      <c r="CF1" s="945"/>
      <c r="CG1" s="945"/>
      <c r="CH1" s="945"/>
      <c r="CI1" s="945"/>
      <c r="CJ1" s="945"/>
      <c r="CK1" s="945"/>
      <c r="CL1" s="945"/>
      <c r="CM1" s="945"/>
      <c r="CN1" s="945"/>
      <c r="CO1" s="945"/>
      <c r="CP1" s="945"/>
      <c r="CQ1" s="945"/>
      <c r="CR1" s="945"/>
      <c r="CS1" s="945"/>
      <c r="CT1" s="945"/>
      <c r="CU1" s="945"/>
      <c r="CV1" s="945"/>
      <c r="CW1" s="945"/>
      <c r="CX1" s="945"/>
      <c r="CY1" s="945"/>
      <c r="CZ1" s="945"/>
      <c r="DA1" s="945"/>
      <c r="DB1" s="945"/>
      <c r="DC1" s="945"/>
      <c r="DD1" s="945"/>
      <c r="DE1" s="945"/>
      <c r="DF1" s="945"/>
      <c r="DG1" s="945"/>
      <c r="DH1" s="945"/>
      <c r="DI1" s="945"/>
      <c r="DJ1" s="945"/>
      <c r="DK1" s="945"/>
      <c r="DL1" s="945"/>
      <c r="DM1" s="945"/>
      <c r="DN1" s="945"/>
      <c r="DO1" s="945"/>
      <c r="DP1" s="945"/>
      <c r="DQ1" s="945"/>
      <c r="DR1" s="945"/>
      <c r="DS1" s="945"/>
      <c r="DT1" s="945"/>
      <c r="DU1" s="945"/>
      <c r="DV1" s="945"/>
      <c r="DW1" s="945"/>
      <c r="DX1" s="945"/>
      <c r="DY1" s="945"/>
      <c r="DZ1" s="945"/>
      <c r="EA1" s="945"/>
      <c r="EB1" s="945"/>
      <c r="EC1" s="945"/>
      <c r="ED1" s="945"/>
      <c r="EE1" s="945"/>
      <c r="EF1" s="945"/>
      <c r="EG1" s="945"/>
      <c r="EH1" s="945"/>
      <c r="EI1" s="945"/>
      <c r="EJ1" s="945"/>
      <c r="EK1" s="945"/>
      <c r="EL1" s="945"/>
      <c r="EM1" s="945"/>
      <c r="EN1" s="945"/>
      <c r="EO1" s="945"/>
      <c r="EP1" s="945"/>
      <c r="EQ1" s="945"/>
      <c r="ER1" s="945"/>
      <c r="ES1" s="945"/>
      <c r="ET1" s="945"/>
      <c r="EU1" s="945"/>
      <c r="EV1" s="945"/>
      <c r="EW1" s="945"/>
      <c r="EX1" s="945"/>
      <c r="EY1" s="945"/>
      <c r="EZ1" s="945"/>
      <c r="FA1" s="945"/>
      <c r="FB1" s="945"/>
      <c r="FC1" s="945"/>
      <c r="FD1" s="945"/>
      <c r="FE1" s="945"/>
      <c r="FF1" s="945"/>
      <c r="FG1" s="945"/>
      <c r="FH1" s="945"/>
      <c r="FI1" s="945"/>
      <c r="FJ1" s="945"/>
      <c r="FK1" s="945"/>
      <c r="FL1" s="945"/>
      <c r="FM1" s="945"/>
      <c r="FN1" s="945"/>
      <c r="FO1" s="945"/>
      <c r="FP1" s="945"/>
      <c r="FQ1" s="945"/>
      <c r="FR1" s="945"/>
      <c r="FS1" s="945"/>
      <c r="FT1" s="945"/>
      <c r="FU1" s="945"/>
      <c r="FV1" s="945"/>
      <c r="FW1" s="945"/>
      <c r="FX1" s="945"/>
      <c r="FY1" s="945"/>
      <c r="FZ1" s="945"/>
      <c r="GA1" s="945"/>
      <c r="GB1" s="945"/>
      <c r="GC1" s="945"/>
      <c r="GD1" s="945"/>
      <c r="GE1" s="945"/>
      <c r="GF1" s="945"/>
      <c r="GG1" s="945"/>
      <c r="GH1" s="945"/>
      <c r="GI1" s="945"/>
      <c r="GJ1" s="945"/>
      <c r="GK1" s="945"/>
      <c r="GL1" s="945"/>
      <c r="GM1" s="945"/>
      <c r="GN1" s="945"/>
      <c r="GO1" s="945"/>
      <c r="GP1" s="945"/>
      <c r="GQ1" s="945"/>
      <c r="GR1" s="945"/>
      <c r="GS1" s="945"/>
      <c r="GT1" s="945"/>
      <c r="GU1" s="945"/>
      <c r="GV1" s="945"/>
      <c r="GW1" s="945"/>
      <c r="GX1" s="945"/>
      <c r="GY1" s="945"/>
      <c r="GZ1" s="945"/>
      <c r="HA1" s="945"/>
      <c r="HB1" s="945"/>
      <c r="HC1" s="945"/>
      <c r="HD1" s="945"/>
      <c r="HE1" s="945"/>
      <c r="HF1" s="945"/>
      <c r="HG1" s="945"/>
      <c r="HH1" s="945"/>
      <c r="HI1" s="945"/>
      <c r="HJ1" s="945"/>
      <c r="HK1" s="945"/>
      <c r="HL1" s="945"/>
      <c r="HM1" s="945"/>
      <c r="HN1" s="945"/>
      <c r="HO1" s="945"/>
      <c r="HP1" s="945"/>
      <c r="HQ1" s="945"/>
      <c r="HR1" s="945"/>
      <c r="HS1" s="945"/>
      <c r="HT1" s="945"/>
      <c r="HU1" s="945"/>
      <c r="HV1" s="945"/>
      <c r="HW1" s="945"/>
      <c r="HX1" s="945"/>
      <c r="HY1" s="945"/>
      <c r="HZ1" s="945"/>
      <c r="IA1" s="945"/>
      <c r="IB1" s="945"/>
      <c r="IC1" s="945"/>
      <c r="ID1" s="945"/>
      <c r="IE1" s="945"/>
      <c r="IF1" s="945"/>
      <c r="IG1" s="945"/>
      <c r="IH1" s="945"/>
      <c r="II1" s="945"/>
      <c r="IJ1" s="945"/>
      <c r="IK1" s="945"/>
      <c r="IL1" s="945"/>
      <c r="IM1" s="945"/>
      <c r="IN1" s="945"/>
      <c r="IO1" s="945"/>
      <c r="IP1" s="945"/>
      <c r="IQ1" s="945"/>
      <c r="IR1" s="945"/>
      <c r="IS1" s="945"/>
      <c r="IT1" s="945"/>
      <c r="IU1" s="945"/>
      <c r="IV1" s="945"/>
      <c r="IW1" s="945"/>
      <c r="IX1" s="945"/>
      <c r="IY1" s="945"/>
      <c r="IZ1" s="945"/>
      <c r="JA1" s="945"/>
      <c r="JB1" s="945"/>
      <c r="JC1" s="945"/>
      <c r="JD1" s="945"/>
      <c r="JE1" s="945"/>
      <c r="JF1" s="945"/>
      <c r="JG1" s="945"/>
      <c r="JH1" s="945"/>
      <c r="JI1" s="945"/>
      <c r="JJ1" s="945"/>
      <c r="JK1" s="945"/>
      <c r="JL1" s="945"/>
      <c r="JM1" s="945"/>
      <c r="JN1" s="945"/>
      <c r="JO1" s="945"/>
      <c r="JP1" s="945"/>
      <c r="JQ1" s="945"/>
      <c r="JR1" s="945"/>
      <c r="JS1" s="945"/>
      <c r="JT1" s="945"/>
      <c r="JU1" s="945"/>
      <c r="JV1" s="945"/>
      <c r="JW1" s="945"/>
      <c r="JX1" s="945"/>
      <c r="JY1" s="945"/>
      <c r="JZ1" s="945"/>
      <c r="KA1" s="945"/>
      <c r="KB1" s="945"/>
      <c r="KC1" s="945"/>
      <c r="KD1" s="945"/>
      <c r="KE1" s="945"/>
      <c r="KF1" s="945"/>
      <c r="KG1" s="945"/>
      <c r="KH1" s="945"/>
      <c r="KI1" s="945"/>
      <c r="KJ1" s="945"/>
      <c r="KK1" s="945"/>
      <c r="KL1" s="945"/>
      <c r="KM1" s="945"/>
      <c r="KN1" s="945"/>
      <c r="KO1" s="945"/>
      <c r="KP1" s="945"/>
      <c r="KQ1" s="945"/>
      <c r="KR1" s="945"/>
      <c r="KS1" s="945"/>
      <c r="KT1" s="945"/>
      <c r="KU1" s="945"/>
      <c r="KV1" s="945"/>
      <c r="KW1" s="945"/>
      <c r="KX1" s="945"/>
      <c r="KY1" s="945"/>
      <c r="KZ1" s="945"/>
      <c r="LA1" s="945"/>
      <c r="LB1" s="945"/>
      <c r="LC1" s="945"/>
      <c r="LD1" s="945"/>
      <c r="LE1" s="945"/>
      <c r="LF1" s="945"/>
      <c r="LG1" s="945"/>
      <c r="LH1" s="945"/>
      <c r="LI1" s="945"/>
      <c r="LJ1" s="945"/>
      <c r="LK1" s="945"/>
      <c r="LL1" s="945"/>
      <c r="LM1" s="945"/>
      <c r="LN1" s="945"/>
      <c r="LO1" s="945"/>
      <c r="LP1" s="945"/>
      <c r="LQ1" s="945"/>
      <c r="LR1" s="945"/>
      <c r="LS1" s="945"/>
      <c r="LT1" s="945"/>
      <c r="LU1" s="945"/>
      <c r="LV1" s="945"/>
      <c r="LW1" s="945"/>
      <c r="LX1" s="945"/>
      <c r="LY1" s="945"/>
      <c r="LZ1" s="945"/>
      <c r="MA1" s="945"/>
      <c r="MB1" s="945"/>
      <c r="MC1" s="945"/>
      <c r="MD1" s="945"/>
      <c r="ME1" s="945"/>
      <c r="MF1" s="945"/>
      <c r="MG1" s="945"/>
      <c r="MH1" s="945"/>
      <c r="MI1" s="945"/>
      <c r="MJ1" s="945"/>
      <c r="MK1" s="945"/>
      <c r="ML1" s="945"/>
      <c r="MM1" s="945"/>
      <c r="MN1" s="945"/>
      <c r="MO1" s="945"/>
      <c r="MP1" s="945"/>
      <c r="MQ1" s="945"/>
      <c r="MR1" s="945"/>
      <c r="MS1" s="945"/>
      <c r="MT1" s="945"/>
      <c r="MU1" s="945"/>
      <c r="MV1" s="945"/>
      <c r="MW1" s="945"/>
      <c r="MX1" s="945"/>
      <c r="MY1" s="945"/>
      <c r="MZ1" s="945"/>
      <c r="NA1" s="945"/>
      <c r="NB1" s="945"/>
      <c r="NC1" s="945"/>
      <c r="ND1" s="945"/>
      <c r="NE1" s="945"/>
      <c r="NF1" s="945"/>
      <c r="NG1" s="945"/>
      <c r="NH1" s="945"/>
      <c r="NI1" s="945"/>
      <c r="NJ1" s="945"/>
      <c r="NK1" s="945"/>
      <c r="NL1" s="945"/>
      <c r="NM1" s="945"/>
      <c r="NN1" s="945"/>
      <c r="NO1" s="945"/>
      <c r="NP1" s="945"/>
      <c r="NQ1" s="945"/>
      <c r="NR1" s="945"/>
      <c r="NS1" s="945"/>
      <c r="NT1" s="945"/>
      <c r="NU1" s="945"/>
      <c r="NV1" s="945"/>
      <c r="NW1" s="945"/>
      <c r="NX1" s="945"/>
      <c r="NY1" s="945"/>
      <c r="NZ1" s="945"/>
      <c r="OA1" s="945"/>
      <c r="OB1" s="945"/>
      <c r="OC1" s="945"/>
      <c r="OD1" s="945"/>
      <c r="OE1" s="945"/>
      <c r="OF1" s="945"/>
      <c r="OG1" s="945"/>
      <c r="OH1" s="945"/>
      <c r="OI1" s="945"/>
      <c r="OJ1" s="945"/>
      <c r="OK1" s="945"/>
      <c r="OL1" s="945"/>
      <c r="OM1" s="945"/>
      <c r="ON1" s="945"/>
      <c r="OO1" s="945"/>
      <c r="OP1" s="945"/>
      <c r="OQ1" s="945"/>
      <c r="OR1" s="945"/>
      <c r="OS1" s="945"/>
      <c r="OT1" s="945"/>
      <c r="OU1" s="945"/>
      <c r="OV1" s="945"/>
      <c r="OW1" s="945"/>
      <c r="OX1" s="945"/>
      <c r="OY1" s="945"/>
      <c r="OZ1" s="945"/>
      <c r="PA1" s="945"/>
      <c r="PB1" s="945"/>
      <c r="PC1" s="945"/>
      <c r="PD1" s="945"/>
      <c r="PE1" s="945"/>
      <c r="PF1" s="945"/>
      <c r="PG1" s="945"/>
      <c r="PH1" s="945"/>
      <c r="PI1" s="945"/>
      <c r="PJ1" s="945"/>
      <c r="PK1" s="945"/>
      <c r="PL1" s="945"/>
      <c r="PM1" s="945"/>
      <c r="PN1" s="945"/>
      <c r="PO1" s="945"/>
    </row>
    <row r="2" spans="1:431" s="892" customFormat="1" ht="32.15" customHeight="1">
      <c r="A2" s="414"/>
      <c r="B2" s="414"/>
      <c r="C2" s="1025">
        <v>2022</v>
      </c>
      <c r="D2" s="1025"/>
      <c r="E2" s="1025"/>
      <c r="F2" s="1025"/>
      <c r="G2" s="1025"/>
      <c r="H2" s="1025">
        <v>2023</v>
      </c>
      <c r="I2" s="1025"/>
      <c r="J2" s="1025"/>
      <c r="K2" s="1025"/>
      <c r="L2" s="1025"/>
      <c r="M2" s="1025">
        <v>2024</v>
      </c>
      <c r="N2" s="1025"/>
      <c r="O2" s="1025"/>
      <c r="P2" s="1025"/>
      <c r="Q2" s="1025"/>
    </row>
    <row r="3" spans="1:431" s="892" customFormat="1" ht="22.5" customHeight="1" thickBot="1">
      <c r="A3" s="544"/>
      <c r="B3" s="418"/>
      <c r="C3" s="423" t="s">
        <v>22</v>
      </c>
      <c r="D3" s="423" t="s">
        <v>23</v>
      </c>
      <c r="E3" s="424" t="s">
        <v>24</v>
      </c>
      <c r="F3" s="423" t="s">
        <v>25</v>
      </c>
      <c r="G3" s="423">
        <v>2022</v>
      </c>
      <c r="H3" s="423" t="s">
        <v>22</v>
      </c>
      <c r="I3" s="423" t="s">
        <v>23</v>
      </c>
      <c r="J3" s="424" t="s">
        <v>780</v>
      </c>
      <c r="K3" s="423" t="s">
        <v>25</v>
      </c>
      <c r="L3" s="423" t="s">
        <v>32</v>
      </c>
      <c r="M3" s="423" t="s">
        <v>22</v>
      </c>
      <c r="N3" s="423" t="s">
        <v>23</v>
      </c>
      <c r="O3" s="424" t="s">
        <v>24</v>
      </c>
      <c r="P3" s="423" t="s">
        <v>25</v>
      </c>
      <c r="Q3" s="423" t="s">
        <v>32</v>
      </c>
    </row>
    <row r="4" spans="1:431" s="65" customFormat="1" ht="26.75" customHeight="1" thickBot="1">
      <c r="A4" s="547" t="s">
        <v>783</v>
      </c>
      <c r="B4" s="572" t="s">
        <v>782</v>
      </c>
      <c r="C4" s="974">
        <f t="shared" ref="C4:L4" si="0">SUM(C5:C7)</f>
        <v>82.8</v>
      </c>
      <c r="D4" s="974">
        <f t="shared" si="0"/>
        <v>109.6</v>
      </c>
      <c r="E4" s="974">
        <f t="shared" si="0"/>
        <v>135.9</v>
      </c>
      <c r="F4" s="974">
        <f t="shared" si="0"/>
        <v>176.6</v>
      </c>
      <c r="G4" s="975">
        <f t="shared" si="0"/>
        <v>504.9</v>
      </c>
      <c r="H4" s="974">
        <f t="shared" si="0"/>
        <v>149.30000000000001</v>
      </c>
      <c r="I4" s="974">
        <f t="shared" si="0"/>
        <v>145.1</v>
      </c>
      <c r="J4" s="426">
        <f t="shared" si="0"/>
        <v>191.3</v>
      </c>
      <c r="K4" s="426">
        <f t="shared" si="0"/>
        <v>179.3</v>
      </c>
      <c r="L4" s="849">
        <f t="shared" si="0"/>
        <v>665</v>
      </c>
      <c r="M4" s="891">
        <f>SUM(M5:M7)</f>
        <v>198.9</v>
      </c>
      <c r="N4" s="891">
        <v>222</v>
      </c>
      <c r="O4" s="426"/>
      <c r="P4" s="426"/>
      <c r="Q4" s="849">
        <f t="shared" ref="Q4" si="1">SUM(Q5:Q7)</f>
        <v>420.9</v>
      </c>
      <c r="R4" s="902"/>
      <c r="S4" s="902"/>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899" customFormat="1" ht="26.75" customHeight="1">
      <c r="A5" s="893" t="s">
        <v>721</v>
      </c>
      <c r="B5" s="894" t="s">
        <v>722</v>
      </c>
      <c r="C5" s="976">
        <v>69</v>
      </c>
      <c r="D5" s="976">
        <v>80.5</v>
      </c>
      <c r="E5" s="976">
        <v>108.9</v>
      </c>
      <c r="F5" s="976">
        <v>168.5</v>
      </c>
      <c r="G5" s="977">
        <f>SUM(C5:F5)</f>
        <v>426.9</v>
      </c>
      <c r="H5" s="976">
        <v>140</v>
      </c>
      <c r="I5" s="976">
        <v>117.8</v>
      </c>
      <c r="J5" s="895">
        <v>157.1</v>
      </c>
      <c r="K5" s="896">
        <v>150.1</v>
      </c>
      <c r="L5" s="897">
        <f>SUM(H5:K5)</f>
        <v>565</v>
      </c>
      <c r="M5" s="895">
        <v>135.1</v>
      </c>
      <c r="N5" s="896">
        <v>124.2</v>
      </c>
      <c r="O5" s="895"/>
      <c r="P5" s="896"/>
      <c r="Q5" s="897">
        <f>SUM(M5:P5)</f>
        <v>259.3</v>
      </c>
      <c r="R5" s="902"/>
      <c r="S5" s="898"/>
      <c r="T5" s="898"/>
      <c r="U5" s="898"/>
      <c r="V5" s="898"/>
      <c r="W5" s="898"/>
      <c r="X5" s="898"/>
      <c r="Y5" s="898"/>
      <c r="Z5" s="898"/>
      <c r="AA5" s="898"/>
      <c r="AB5" s="898"/>
      <c r="AC5" s="898"/>
      <c r="AD5" s="898"/>
      <c r="AE5" s="898"/>
      <c r="AF5" s="898"/>
      <c r="AG5" s="898"/>
      <c r="AH5" s="898"/>
      <c r="AI5" s="898"/>
      <c r="AJ5" s="898"/>
      <c r="AK5" s="898"/>
      <c r="AL5" s="898"/>
      <c r="AM5" s="898"/>
      <c r="AN5" s="898"/>
      <c r="AO5" s="898"/>
      <c r="AP5" s="898"/>
      <c r="AQ5" s="898"/>
      <c r="AR5" s="898"/>
      <c r="AS5" s="898"/>
      <c r="AT5" s="898"/>
      <c r="AU5" s="898"/>
      <c r="AV5" s="898"/>
      <c r="AW5" s="898"/>
      <c r="AX5" s="898"/>
      <c r="AY5" s="898"/>
      <c r="AZ5" s="898"/>
      <c r="BA5" s="898"/>
      <c r="BB5" s="898"/>
      <c r="BC5" s="898"/>
      <c r="BD5" s="898"/>
      <c r="BE5" s="898"/>
      <c r="BF5" s="898"/>
      <c r="BG5" s="898"/>
      <c r="BH5" s="898"/>
      <c r="BI5" s="898"/>
      <c r="BJ5" s="898"/>
      <c r="BK5" s="898"/>
      <c r="BL5" s="898"/>
      <c r="BM5" s="898"/>
      <c r="BN5" s="898"/>
      <c r="BO5" s="898"/>
      <c r="BP5" s="898"/>
      <c r="BQ5" s="898"/>
      <c r="BR5" s="898"/>
      <c r="BS5" s="898"/>
      <c r="BT5" s="898"/>
      <c r="BU5" s="898"/>
      <c r="BV5" s="898"/>
      <c r="BW5" s="898"/>
      <c r="BX5" s="898"/>
      <c r="BY5" s="898"/>
      <c r="BZ5" s="898"/>
      <c r="CA5" s="898"/>
      <c r="CB5" s="898"/>
      <c r="CC5" s="898"/>
      <c r="CD5" s="898"/>
      <c r="CE5" s="898"/>
      <c r="CF5" s="898"/>
      <c r="CG5" s="898"/>
      <c r="CH5" s="898"/>
      <c r="CI5" s="898"/>
      <c r="CJ5" s="898"/>
      <c r="CK5" s="898"/>
      <c r="CL5" s="898"/>
      <c r="CM5" s="898"/>
      <c r="CN5" s="898"/>
      <c r="CO5" s="898"/>
      <c r="CP5" s="898"/>
      <c r="CQ5" s="898"/>
      <c r="CR5" s="898"/>
      <c r="CS5" s="898"/>
      <c r="CT5" s="898"/>
      <c r="CU5" s="898"/>
      <c r="CV5" s="898"/>
      <c r="CW5" s="898"/>
      <c r="CX5" s="898"/>
      <c r="CY5" s="898"/>
      <c r="CZ5" s="898"/>
      <c r="DA5" s="898"/>
      <c r="DB5" s="898"/>
      <c r="DC5" s="898"/>
      <c r="DD5" s="898"/>
      <c r="DE5" s="898"/>
      <c r="DF5" s="898"/>
      <c r="DG5" s="898"/>
      <c r="DH5" s="898"/>
      <c r="DI5" s="898"/>
      <c r="DJ5" s="898"/>
      <c r="DK5" s="898"/>
      <c r="DL5" s="898"/>
      <c r="DM5" s="898"/>
      <c r="DN5" s="898"/>
      <c r="DO5" s="898"/>
      <c r="DP5" s="898"/>
      <c r="DQ5" s="898"/>
      <c r="DR5" s="898"/>
      <c r="DS5" s="898"/>
      <c r="DT5" s="898"/>
      <c r="DU5" s="898"/>
      <c r="DV5" s="898"/>
      <c r="DW5" s="898"/>
      <c r="DX5" s="898"/>
      <c r="DY5" s="898"/>
      <c r="DZ5" s="898"/>
      <c r="EA5" s="898"/>
      <c r="EB5" s="898"/>
      <c r="EC5" s="898"/>
      <c r="ED5" s="898"/>
      <c r="EE5" s="898"/>
      <c r="EF5" s="898"/>
      <c r="EG5" s="898"/>
      <c r="EH5" s="898"/>
      <c r="EI5" s="898"/>
      <c r="EJ5" s="898"/>
      <c r="EK5" s="898"/>
      <c r="EL5" s="898"/>
      <c r="EM5" s="898"/>
      <c r="EN5" s="898"/>
      <c r="EO5" s="898"/>
      <c r="EP5" s="898"/>
      <c r="EQ5" s="898"/>
      <c r="ER5" s="898"/>
      <c r="ES5" s="898"/>
      <c r="ET5" s="898"/>
      <c r="EU5" s="898"/>
      <c r="EV5" s="898"/>
      <c r="EW5" s="898"/>
      <c r="EX5" s="898"/>
      <c r="EY5" s="898"/>
      <c r="EZ5" s="898"/>
      <c r="FA5" s="898"/>
      <c r="FB5" s="898"/>
      <c r="FC5" s="898"/>
      <c r="FD5" s="898"/>
      <c r="FE5" s="898"/>
      <c r="FF5" s="898"/>
      <c r="FG5" s="898"/>
      <c r="FH5" s="898"/>
      <c r="FI5" s="898"/>
      <c r="FJ5" s="898"/>
      <c r="FK5" s="898"/>
      <c r="FL5" s="898"/>
      <c r="FM5" s="898"/>
      <c r="FN5" s="898"/>
      <c r="FO5" s="898"/>
      <c r="FP5" s="898"/>
      <c r="FQ5" s="898"/>
      <c r="FR5" s="898"/>
      <c r="FS5" s="898"/>
      <c r="FT5" s="898"/>
      <c r="FU5" s="898"/>
      <c r="FV5" s="898"/>
      <c r="FW5" s="898"/>
      <c r="FX5" s="898"/>
      <c r="FY5" s="898"/>
      <c r="FZ5" s="898"/>
      <c r="GA5" s="898"/>
      <c r="GB5" s="898"/>
      <c r="GC5" s="898"/>
      <c r="GD5" s="898"/>
      <c r="GE5" s="898"/>
      <c r="GF5" s="898"/>
      <c r="GG5" s="898"/>
      <c r="GH5" s="898"/>
      <c r="GI5" s="898"/>
      <c r="GJ5" s="898"/>
      <c r="GK5" s="898"/>
      <c r="GL5" s="898"/>
      <c r="GM5" s="898"/>
      <c r="GN5" s="898"/>
      <c r="GO5" s="898"/>
      <c r="GP5" s="898"/>
      <c r="GQ5" s="898"/>
      <c r="GR5" s="898"/>
      <c r="GS5" s="898"/>
      <c r="GT5" s="898"/>
      <c r="GU5" s="898"/>
      <c r="GV5" s="898"/>
      <c r="GW5" s="898"/>
      <c r="GX5" s="898"/>
      <c r="GY5" s="898"/>
      <c r="GZ5" s="898"/>
      <c r="HA5" s="898"/>
      <c r="HB5" s="898"/>
      <c r="HC5" s="898"/>
      <c r="HD5" s="898"/>
      <c r="HE5" s="898"/>
      <c r="HF5" s="898"/>
      <c r="HG5" s="898"/>
      <c r="HH5" s="898"/>
      <c r="HI5" s="898"/>
      <c r="HJ5" s="898"/>
      <c r="HK5" s="898"/>
      <c r="HL5" s="898"/>
      <c r="HM5" s="898"/>
      <c r="HN5" s="898"/>
      <c r="HO5" s="898"/>
      <c r="HP5" s="898"/>
      <c r="HQ5" s="898"/>
      <c r="HR5" s="898"/>
      <c r="HS5" s="898"/>
      <c r="HT5" s="898"/>
      <c r="HU5" s="898"/>
      <c r="HV5" s="898"/>
      <c r="HW5" s="898"/>
      <c r="HX5" s="898"/>
      <c r="HY5" s="898"/>
      <c r="HZ5" s="898"/>
      <c r="IA5" s="898"/>
      <c r="IB5" s="898"/>
      <c r="IC5" s="898"/>
      <c r="ID5" s="898"/>
      <c r="IE5" s="898"/>
      <c r="IF5" s="898"/>
      <c r="IG5" s="898"/>
      <c r="IH5" s="898"/>
      <c r="II5" s="898"/>
      <c r="IJ5" s="898"/>
      <c r="IK5" s="898"/>
      <c r="IL5" s="898"/>
      <c r="IM5" s="898"/>
      <c r="IN5" s="898"/>
      <c r="IO5" s="898"/>
      <c r="IP5" s="898"/>
      <c r="IQ5" s="898"/>
      <c r="IR5" s="898"/>
      <c r="IS5" s="898"/>
      <c r="IT5" s="898"/>
      <c r="IU5" s="898"/>
      <c r="IV5" s="898"/>
      <c r="IW5" s="898"/>
      <c r="IX5" s="898"/>
      <c r="IY5" s="898"/>
      <c r="IZ5" s="898"/>
      <c r="JA5" s="898"/>
      <c r="JB5" s="898"/>
      <c r="JC5" s="898"/>
      <c r="JD5" s="898"/>
      <c r="JE5" s="898"/>
      <c r="JF5" s="898"/>
      <c r="JG5" s="898"/>
      <c r="JH5" s="898"/>
      <c r="JI5" s="898"/>
      <c r="JJ5" s="898"/>
      <c r="JK5" s="898"/>
      <c r="JL5" s="898"/>
      <c r="JM5" s="898"/>
      <c r="JN5" s="898"/>
      <c r="JO5" s="898"/>
      <c r="JP5" s="898"/>
      <c r="JQ5" s="898"/>
      <c r="JR5" s="898"/>
      <c r="JS5" s="898"/>
      <c r="JT5" s="898"/>
      <c r="JU5" s="898"/>
      <c r="JV5" s="898"/>
      <c r="JW5" s="898"/>
      <c r="JX5" s="898"/>
      <c r="JY5" s="898"/>
      <c r="JZ5" s="898"/>
      <c r="KA5" s="898"/>
      <c r="KB5" s="898"/>
      <c r="KC5" s="898"/>
      <c r="KD5" s="898"/>
      <c r="KE5" s="898"/>
      <c r="KF5" s="898"/>
      <c r="KG5" s="898"/>
      <c r="KH5" s="898"/>
      <c r="KI5" s="898"/>
      <c r="KJ5" s="898"/>
      <c r="KK5" s="898"/>
      <c r="KL5" s="898"/>
      <c r="KM5" s="898"/>
      <c r="KN5" s="898"/>
      <c r="KO5" s="898"/>
      <c r="KP5" s="898"/>
      <c r="KQ5" s="898"/>
      <c r="KR5" s="898"/>
      <c r="KS5" s="898"/>
      <c r="KT5" s="898"/>
      <c r="KU5" s="898"/>
      <c r="KV5" s="898"/>
      <c r="KW5" s="898"/>
      <c r="KX5" s="898"/>
      <c r="KY5" s="898"/>
      <c r="KZ5" s="898"/>
      <c r="LA5" s="898"/>
      <c r="LB5" s="898"/>
      <c r="LC5" s="898"/>
      <c r="LD5" s="898"/>
      <c r="LE5" s="898"/>
      <c r="LF5" s="898"/>
      <c r="LG5" s="898"/>
      <c r="LH5" s="898"/>
      <c r="LI5" s="898"/>
      <c r="LJ5" s="898"/>
      <c r="LK5" s="898"/>
      <c r="LL5" s="898"/>
      <c r="LM5" s="898"/>
      <c r="LN5" s="898"/>
      <c r="LO5" s="898"/>
      <c r="LP5" s="898"/>
      <c r="LQ5" s="898"/>
      <c r="LR5" s="898"/>
      <c r="LS5" s="898"/>
      <c r="LT5" s="898"/>
      <c r="LU5" s="898"/>
      <c r="LV5" s="898"/>
      <c r="LW5" s="898"/>
      <c r="LX5" s="898"/>
      <c r="LY5" s="898"/>
      <c r="LZ5" s="898"/>
      <c r="MA5" s="898"/>
      <c r="MB5" s="898"/>
      <c r="MC5" s="898"/>
      <c r="MD5" s="898"/>
      <c r="ME5" s="898"/>
      <c r="MF5" s="898"/>
      <c r="MG5" s="898"/>
      <c r="MH5" s="898"/>
      <c r="MI5" s="898"/>
      <c r="MJ5" s="898"/>
      <c r="MK5" s="898"/>
      <c r="ML5" s="898"/>
      <c r="MM5" s="898"/>
      <c r="MN5" s="898"/>
      <c r="MO5" s="898"/>
      <c r="MP5" s="898"/>
      <c r="MQ5" s="898"/>
      <c r="MR5" s="898"/>
      <c r="MS5" s="898"/>
      <c r="MT5" s="898"/>
      <c r="MU5" s="898"/>
      <c r="MV5" s="898"/>
      <c r="MW5" s="898"/>
      <c r="MX5" s="898"/>
      <c r="MY5" s="898"/>
      <c r="MZ5" s="898"/>
      <c r="NA5" s="898"/>
      <c r="NB5" s="898"/>
      <c r="NC5" s="898"/>
      <c r="ND5" s="898"/>
      <c r="NE5" s="898"/>
      <c r="NF5" s="898"/>
      <c r="NG5" s="898"/>
      <c r="NH5" s="898"/>
      <c r="NI5" s="898"/>
      <c r="NJ5" s="898"/>
      <c r="NK5" s="898"/>
      <c r="NL5" s="898"/>
      <c r="NM5" s="898"/>
      <c r="NN5" s="898"/>
      <c r="NO5" s="898"/>
      <c r="NP5" s="898"/>
      <c r="NQ5" s="898"/>
      <c r="NR5" s="898"/>
      <c r="NS5" s="898"/>
      <c r="NT5" s="898"/>
      <c r="NU5" s="898"/>
      <c r="NV5" s="898"/>
      <c r="NW5" s="898"/>
      <c r="NX5" s="898"/>
      <c r="NY5" s="898"/>
      <c r="NZ5" s="898"/>
      <c r="OA5" s="898"/>
      <c r="OB5" s="898"/>
      <c r="OC5" s="898"/>
      <c r="OD5" s="898"/>
      <c r="OE5" s="898"/>
      <c r="OF5" s="898"/>
      <c r="OG5" s="898"/>
      <c r="OH5" s="898"/>
      <c r="OI5" s="898"/>
      <c r="OJ5" s="898"/>
      <c r="OK5" s="898"/>
      <c r="OL5" s="898"/>
      <c r="OM5" s="898"/>
      <c r="ON5" s="898"/>
      <c r="OO5" s="898"/>
      <c r="OP5" s="898"/>
      <c r="OQ5" s="898"/>
      <c r="OR5" s="898"/>
      <c r="OS5" s="898"/>
      <c r="OT5" s="898"/>
      <c r="OU5" s="898"/>
      <c r="OV5" s="898"/>
      <c r="OW5" s="898"/>
      <c r="OX5" s="898"/>
      <c r="OY5" s="898"/>
      <c r="OZ5" s="898"/>
      <c r="PA5" s="898"/>
      <c r="PB5" s="898"/>
      <c r="PC5" s="898"/>
      <c r="PD5" s="898"/>
      <c r="PE5" s="898"/>
      <c r="PF5" s="898"/>
      <c r="PG5" s="898"/>
      <c r="PH5" s="898"/>
      <c r="PI5" s="898"/>
      <c r="PJ5" s="898"/>
      <c r="PK5" s="898"/>
      <c r="PL5" s="898"/>
      <c r="PM5" s="898"/>
      <c r="PN5" s="898"/>
      <c r="PO5" s="898"/>
    </row>
    <row r="6" spans="1:431" s="899" customFormat="1" ht="26.75" customHeight="1">
      <c r="A6" s="893" t="s">
        <v>723</v>
      </c>
      <c r="B6" s="894" t="s">
        <v>724</v>
      </c>
      <c r="C6" s="976">
        <v>13.8</v>
      </c>
      <c r="D6" s="976">
        <v>29.1</v>
      </c>
      <c r="E6" s="976">
        <v>27</v>
      </c>
      <c r="F6" s="976">
        <v>8.1</v>
      </c>
      <c r="G6" s="977">
        <f t="shared" ref="G6:G7" si="2">SUM(C6:F6)</f>
        <v>78</v>
      </c>
      <c r="H6" s="976">
        <v>9.3000000000000007</v>
      </c>
      <c r="I6" s="976">
        <v>27.3</v>
      </c>
      <c r="J6" s="895">
        <v>27.9</v>
      </c>
      <c r="K6" s="896">
        <v>7.8</v>
      </c>
      <c r="L6" s="897">
        <f t="shared" ref="L6:L7" si="3">SUM(H6:K6)</f>
        <v>72.3</v>
      </c>
      <c r="M6" s="895">
        <v>11.9</v>
      </c>
      <c r="N6" s="896">
        <v>33.299999999999997</v>
      </c>
      <c r="O6" s="895"/>
      <c r="P6" s="896"/>
      <c r="Q6" s="897">
        <f t="shared" ref="Q6:Q7" si="4">SUM(M6:P6)</f>
        <v>45.199999999999996</v>
      </c>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8"/>
      <c r="AY6" s="898"/>
      <c r="AZ6" s="898"/>
      <c r="BA6" s="898"/>
      <c r="BB6" s="898"/>
      <c r="BC6" s="898"/>
      <c r="BD6" s="898"/>
      <c r="BE6" s="898"/>
      <c r="BF6" s="898"/>
      <c r="BG6" s="898"/>
      <c r="BH6" s="898"/>
      <c r="BI6" s="898"/>
      <c r="BJ6" s="898"/>
      <c r="BK6" s="898"/>
      <c r="BL6" s="898"/>
      <c r="BM6" s="898"/>
      <c r="BN6" s="898"/>
      <c r="BO6" s="898"/>
      <c r="BP6" s="898"/>
      <c r="BQ6" s="898"/>
      <c r="BR6" s="898"/>
      <c r="BS6" s="898"/>
      <c r="BT6" s="898"/>
      <c r="BU6" s="898"/>
      <c r="BV6" s="898"/>
      <c r="BW6" s="898"/>
      <c r="BX6" s="898"/>
      <c r="BY6" s="898"/>
      <c r="BZ6" s="898"/>
      <c r="CA6" s="898"/>
      <c r="CB6" s="898"/>
      <c r="CC6" s="898"/>
      <c r="CD6" s="898"/>
      <c r="CE6" s="898"/>
      <c r="CF6" s="898"/>
      <c r="CG6" s="898"/>
      <c r="CH6" s="898"/>
      <c r="CI6" s="898"/>
      <c r="CJ6" s="898"/>
      <c r="CK6" s="898"/>
      <c r="CL6" s="898"/>
      <c r="CM6" s="898"/>
      <c r="CN6" s="898"/>
      <c r="CO6" s="898"/>
      <c r="CP6" s="898"/>
      <c r="CQ6" s="898"/>
      <c r="CR6" s="898"/>
      <c r="CS6" s="898"/>
      <c r="CT6" s="898"/>
      <c r="CU6" s="898"/>
      <c r="CV6" s="898"/>
      <c r="CW6" s="898"/>
      <c r="CX6" s="898"/>
      <c r="CY6" s="898"/>
      <c r="CZ6" s="898"/>
      <c r="DA6" s="898"/>
      <c r="DB6" s="898"/>
      <c r="DC6" s="898"/>
      <c r="DD6" s="898"/>
      <c r="DE6" s="898"/>
      <c r="DF6" s="898"/>
      <c r="DG6" s="898"/>
      <c r="DH6" s="898"/>
      <c r="DI6" s="898"/>
      <c r="DJ6" s="898"/>
      <c r="DK6" s="898"/>
      <c r="DL6" s="898"/>
      <c r="DM6" s="898"/>
      <c r="DN6" s="898"/>
      <c r="DO6" s="898"/>
      <c r="DP6" s="898"/>
      <c r="DQ6" s="898"/>
      <c r="DR6" s="898"/>
      <c r="DS6" s="898"/>
      <c r="DT6" s="898"/>
      <c r="DU6" s="898"/>
      <c r="DV6" s="898"/>
      <c r="DW6" s="898"/>
      <c r="DX6" s="898"/>
      <c r="DY6" s="898"/>
      <c r="DZ6" s="898"/>
      <c r="EA6" s="898"/>
      <c r="EB6" s="898"/>
      <c r="EC6" s="898"/>
      <c r="ED6" s="898"/>
      <c r="EE6" s="898"/>
      <c r="EF6" s="898"/>
      <c r="EG6" s="898"/>
      <c r="EH6" s="898"/>
      <c r="EI6" s="898"/>
      <c r="EJ6" s="898"/>
      <c r="EK6" s="898"/>
      <c r="EL6" s="898"/>
      <c r="EM6" s="898"/>
      <c r="EN6" s="898"/>
      <c r="EO6" s="898"/>
      <c r="EP6" s="898"/>
      <c r="EQ6" s="898"/>
      <c r="ER6" s="898"/>
      <c r="ES6" s="898"/>
      <c r="ET6" s="898"/>
      <c r="EU6" s="898"/>
      <c r="EV6" s="898"/>
      <c r="EW6" s="898"/>
      <c r="EX6" s="898"/>
      <c r="EY6" s="898"/>
      <c r="EZ6" s="898"/>
      <c r="FA6" s="898"/>
      <c r="FB6" s="898"/>
      <c r="FC6" s="898"/>
      <c r="FD6" s="898"/>
      <c r="FE6" s="898"/>
      <c r="FF6" s="898"/>
      <c r="FG6" s="898"/>
      <c r="FH6" s="898"/>
      <c r="FI6" s="898"/>
      <c r="FJ6" s="898"/>
      <c r="FK6" s="898"/>
      <c r="FL6" s="898"/>
      <c r="FM6" s="898"/>
      <c r="FN6" s="898"/>
      <c r="FO6" s="898"/>
      <c r="FP6" s="898"/>
      <c r="FQ6" s="898"/>
      <c r="FR6" s="898"/>
      <c r="FS6" s="898"/>
      <c r="FT6" s="898"/>
      <c r="FU6" s="898"/>
      <c r="FV6" s="898"/>
      <c r="FW6" s="898"/>
      <c r="FX6" s="898"/>
      <c r="FY6" s="898"/>
      <c r="FZ6" s="898"/>
      <c r="GA6" s="898"/>
      <c r="GB6" s="898"/>
      <c r="GC6" s="898"/>
      <c r="GD6" s="898"/>
      <c r="GE6" s="898"/>
      <c r="GF6" s="898"/>
      <c r="GG6" s="898"/>
      <c r="GH6" s="898"/>
      <c r="GI6" s="898"/>
      <c r="GJ6" s="898"/>
      <c r="GK6" s="898"/>
      <c r="GL6" s="898"/>
      <c r="GM6" s="898"/>
      <c r="GN6" s="898"/>
      <c r="GO6" s="898"/>
      <c r="GP6" s="898"/>
      <c r="GQ6" s="898"/>
      <c r="GR6" s="898"/>
      <c r="GS6" s="898"/>
      <c r="GT6" s="898"/>
      <c r="GU6" s="898"/>
      <c r="GV6" s="898"/>
      <c r="GW6" s="898"/>
      <c r="GX6" s="898"/>
      <c r="GY6" s="898"/>
      <c r="GZ6" s="898"/>
      <c r="HA6" s="898"/>
      <c r="HB6" s="898"/>
      <c r="HC6" s="898"/>
      <c r="HD6" s="898"/>
      <c r="HE6" s="898"/>
      <c r="HF6" s="898"/>
      <c r="HG6" s="898"/>
      <c r="HH6" s="898"/>
      <c r="HI6" s="898"/>
      <c r="HJ6" s="898"/>
      <c r="HK6" s="898"/>
      <c r="HL6" s="898"/>
      <c r="HM6" s="898"/>
      <c r="HN6" s="898"/>
      <c r="HO6" s="898"/>
      <c r="HP6" s="898"/>
      <c r="HQ6" s="898"/>
      <c r="HR6" s="898"/>
      <c r="HS6" s="898"/>
      <c r="HT6" s="898"/>
      <c r="HU6" s="898"/>
      <c r="HV6" s="898"/>
      <c r="HW6" s="898"/>
      <c r="HX6" s="898"/>
      <c r="HY6" s="898"/>
      <c r="HZ6" s="898"/>
      <c r="IA6" s="898"/>
      <c r="IB6" s="898"/>
      <c r="IC6" s="898"/>
      <c r="ID6" s="898"/>
      <c r="IE6" s="898"/>
      <c r="IF6" s="898"/>
      <c r="IG6" s="898"/>
      <c r="IH6" s="898"/>
      <c r="II6" s="898"/>
      <c r="IJ6" s="898"/>
      <c r="IK6" s="898"/>
      <c r="IL6" s="898"/>
      <c r="IM6" s="898"/>
      <c r="IN6" s="898"/>
      <c r="IO6" s="898"/>
      <c r="IP6" s="898"/>
      <c r="IQ6" s="898"/>
      <c r="IR6" s="898"/>
      <c r="IS6" s="898"/>
      <c r="IT6" s="898"/>
      <c r="IU6" s="898"/>
      <c r="IV6" s="898"/>
      <c r="IW6" s="898"/>
      <c r="IX6" s="898"/>
      <c r="IY6" s="898"/>
      <c r="IZ6" s="898"/>
      <c r="JA6" s="898"/>
      <c r="JB6" s="898"/>
      <c r="JC6" s="898"/>
      <c r="JD6" s="898"/>
      <c r="JE6" s="898"/>
      <c r="JF6" s="898"/>
      <c r="JG6" s="898"/>
      <c r="JH6" s="898"/>
      <c r="JI6" s="898"/>
      <c r="JJ6" s="898"/>
      <c r="JK6" s="898"/>
      <c r="JL6" s="898"/>
      <c r="JM6" s="898"/>
      <c r="JN6" s="898"/>
      <c r="JO6" s="898"/>
      <c r="JP6" s="898"/>
      <c r="JQ6" s="898"/>
      <c r="JR6" s="898"/>
      <c r="JS6" s="898"/>
      <c r="JT6" s="898"/>
      <c r="JU6" s="898"/>
      <c r="JV6" s="898"/>
      <c r="JW6" s="898"/>
      <c r="JX6" s="898"/>
      <c r="JY6" s="898"/>
      <c r="JZ6" s="898"/>
      <c r="KA6" s="898"/>
      <c r="KB6" s="898"/>
      <c r="KC6" s="898"/>
      <c r="KD6" s="898"/>
      <c r="KE6" s="898"/>
      <c r="KF6" s="898"/>
      <c r="KG6" s="898"/>
      <c r="KH6" s="898"/>
      <c r="KI6" s="898"/>
      <c r="KJ6" s="898"/>
      <c r="KK6" s="898"/>
      <c r="KL6" s="898"/>
      <c r="KM6" s="898"/>
      <c r="KN6" s="898"/>
      <c r="KO6" s="898"/>
      <c r="KP6" s="898"/>
      <c r="KQ6" s="898"/>
      <c r="KR6" s="898"/>
      <c r="KS6" s="898"/>
      <c r="KT6" s="898"/>
      <c r="KU6" s="898"/>
      <c r="KV6" s="898"/>
      <c r="KW6" s="898"/>
      <c r="KX6" s="898"/>
      <c r="KY6" s="898"/>
      <c r="KZ6" s="898"/>
      <c r="LA6" s="898"/>
      <c r="LB6" s="898"/>
      <c r="LC6" s="898"/>
      <c r="LD6" s="898"/>
      <c r="LE6" s="898"/>
      <c r="LF6" s="898"/>
      <c r="LG6" s="898"/>
      <c r="LH6" s="898"/>
      <c r="LI6" s="898"/>
      <c r="LJ6" s="898"/>
      <c r="LK6" s="898"/>
      <c r="LL6" s="898"/>
      <c r="LM6" s="898"/>
      <c r="LN6" s="898"/>
      <c r="LO6" s="898"/>
      <c r="LP6" s="898"/>
      <c r="LQ6" s="898"/>
      <c r="LR6" s="898"/>
      <c r="LS6" s="898"/>
      <c r="LT6" s="898"/>
      <c r="LU6" s="898"/>
      <c r="LV6" s="898"/>
      <c r="LW6" s="898"/>
      <c r="LX6" s="898"/>
      <c r="LY6" s="898"/>
      <c r="LZ6" s="898"/>
      <c r="MA6" s="898"/>
      <c r="MB6" s="898"/>
      <c r="MC6" s="898"/>
      <c r="MD6" s="898"/>
      <c r="ME6" s="898"/>
      <c r="MF6" s="898"/>
      <c r="MG6" s="898"/>
      <c r="MH6" s="898"/>
      <c r="MI6" s="898"/>
      <c r="MJ6" s="898"/>
      <c r="MK6" s="898"/>
      <c r="ML6" s="898"/>
      <c r="MM6" s="898"/>
      <c r="MN6" s="898"/>
      <c r="MO6" s="898"/>
      <c r="MP6" s="898"/>
      <c r="MQ6" s="898"/>
      <c r="MR6" s="898"/>
      <c r="MS6" s="898"/>
      <c r="MT6" s="898"/>
      <c r="MU6" s="898"/>
      <c r="MV6" s="898"/>
      <c r="MW6" s="898"/>
      <c r="MX6" s="898"/>
      <c r="MY6" s="898"/>
      <c r="MZ6" s="898"/>
      <c r="NA6" s="898"/>
      <c r="NB6" s="898"/>
      <c r="NC6" s="898"/>
      <c r="ND6" s="898"/>
      <c r="NE6" s="898"/>
      <c r="NF6" s="898"/>
      <c r="NG6" s="898"/>
      <c r="NH6" s="898"/>
      <c r="NI6" s="898"/>
      <c r="NJ6" s="898"/>
      <c r="NK6" s="898"/>
      <c r="NL6" s="898"/>
      <c r="NM6" s="898"/>
      <c r="NN6" s="898"/>
      <c r="NO6" s="898"/>
      <c r="NP6" s="898"/>
      <c r="NQ6" s="898"/>
      <c r="NR6" s="898"/>
      <c r="NS6" s="898"/>
      <c r="NT6" s="898"/>
      <c r="NU6" s="898"/>
      <c r="NV6" s="898"/>
      <c r="NW6" s="898"/>
      <c r="NX6" s="898"/>
      <c r="NY6" s="898"/>
      <c r="NZ6" s="898"/>
      <c r="OA6" s="898"/>
      <c r="OB6" s="898"/>
      <c r="OC6" s="898"/>
      <c r="OD6" s="898"/>
      <c r="OE6" s="898"/>
      <c r="OF6" s="898"/>
      <c r="OG6" s="898"/>
      <c r="OH6" s="898"/>
      <c r="OI6" s="898"/>
      <c r="OJ6" s="898"/>
      <c r="OK6" s="898"/>
      <c r="OL6" s="898"/>
      <c r="OM6" s="898"/>
      <c r="ON6" s="898"/>
      <c r="OO6" s="898"/>
      <c r="OP6" s="898"/>
      <c r="OQ6" s="898"/>
      <c r="OR6" s="898"/>
      <c r="OS6" s="898"/>
      <c r="OT6" s="898"/>
      <c r="OU6" s="898"/>
      <c r="OV6" s="898"/>
      <c r="OW6" s="898"/>
      <c r="OX6" s="898"/>
      <c r="OY6" s="898"/>
      <c r="OZ6" s="898"/>
      <c r="PA6" s="898"/>
      <c r="PB6" s="898"/>
      <c r="PC6" s="898"/>
      <c r="PD6" s="898"/>
      <c r="PE6" s="898"/>
      <c r="PF6" s="898"/>
      <c r="PG6" s="898"/>
      <c r="PH6" s="898"/>
      <c r="PI6" s="898"/>
      <c r="PJ6" s="898"/>
      <c r="PK6" s="898"/>
      <c r="PL6" s="898"/>
      <c r="PM6" s="898"/>
      <c r="PN6" s="898"/>
      <c r="PO6" s="898"/>
    </row>
    <row r="7" spans="1:431" s="899" customFormat="1" ht="26.75" customHeight="1" thickBot="1">
      <c r="A7" s="893" t="s">
        <v>725</v>
      </c>
      <c r="B7" s="894" t="s">
        <v>726</v>
      </c>
      <c r="C7" s="900" t="s">
        <v>150</v>
      </c>
      <c r="D7" s="901" t="s">
        <v>150</v>
      </c>
      <c r="E7" s="900" t="s">
        <v>150</v>
      </c>
      <c r="F7" s="901" t="s">
        <v>150</v>
      </c>
      <c r="G7" s="977">
        <f t="shared" si="2"/>
        <v>0</v>
      </c>
      <c r="H7" s="217">
        <v>0</v>
      </c>
      <c r="I7" s="217">
        <v>0</v>
      </c>
      <c r="J7" s="895">
        <v>6.3</v>
      </c>
      <c r="K7" s="896">
        <v>21.4</v>
      </c>
      <c r="L7" s="897">
        <f t="shared" si="3"/>
        <v>27.7</v>
      </c>
      <c r="M7" s="895">
        <v>51.9</v>
      </c>
      <c r="N7" s="895">
        <v>64.5</v>
      </c>
      <c r="O7" s="895"/>
      <c r="P7" s="896"/>
      <c r="Q7" s="897">
        <f t="shared" si="4"/>
        <v>116.4</v>
      </c>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8"/>
      <c r="AY7" s="898"/>
      <c r="AZ7" s="898"/>
      <c r="BA7" s="898"/>
      <c r="BB7" s="898"/>
      <c r="BC7" s="898"/>
      <c r="BD7" s="898"/>
      <c r="BE7" s="898"/>
      <c r="BF7" s="898"/>
      <c r="BG7" s="898"/>
      <c r="BH7" s="898"/>
      <c r="BI7" s="898"/>
      <c r="BJ7" s="898"/>
      <c r="BK7" s="898"/>
      <c r="BL7" s="898"/>
      <c r="BM7" s="898"/>
      <c r="BN7" s="898"/>
      <c r="BO7" s="898"/>
      <c r="BP7" s="898"/>
      <c r="BQ7" s="898"/>
      <c r="BR7" s="898"/>
      <c r="BS7" s="898"/>
      <c r="BT7" s="898"/>
      <c r="BU7" s="898"/>
      <c r="BV7" s="898"/>
      <c r="BW7" s="898"/>
      <c r="BX7" s="898"/>
      <c r="BY7" s="898"/>
      <c r="BZ7" s="898"/>
      <c r="CA7" s="898"/>
      <c r="CB7" s="898"/>
      <c r="CC7" s="898"/>
      <c r="CD7" s="898"/>
      <c r="CE7" s="898"/>
      <c r="CF7" s="898"/>
      <c r="CG7" s="898"/>
      <c r="CH7" s="898"/>
      <c r="CI7" s="898"/>
      <c r="CJ7" s="898"/>
      <c r="CK7" s="898"/>
      <c r="CL7" s="898"/>
      <c r="CM7" s="898"/>
      <c r="CN7" s="898"/>
      <c r="CO7" s="898"/>
      <c r="CP7" s="898"/>
      <c r="CQ7" s="898"/>
      <c r="CR7" s="898"/>
      <c r="CS7" s="898"/>
      <c r="CT7" s="898"/>
      <c r="CU7" s="898"/>
      <c r="CV7" s="898"/>
      <c r="CW7" s="898"/>
      <c r="CX7" s="898"/>
      <c r="CY7" s="898"/>
      <c r="CZ7" s="898"/>
      <c r="DA7" s="898"/>
      <c r="DB7" s="898"/>
      <c r="DC7" s="898"/>
      <c r="DD7" s="898"/>
      <c r="DE7" s="898"/>
      <c r="DF7" s="898"/>
      <c r="DG7" s="898"/>
      <c r="DH7" s="898"/>
      <c r="DI7" s="898"/>
      <c r="DJ7" s="898"/>
      <c r="DK7" s="898"/>
      <c r="DL7" s="898"/>
      <c r="DM7" s="898"/>
      <c r="DN7" s="898"/>
      <c r="DO7" s="898"/>
      <c r="DP7" s="898"/>
      <c r="DQ7" s="898"/>
      <c r="DR7" s="898"/>
      <c r="DS7" s="898"/>
      <c r="DT7" s="898"/>
      <c r="DU7" s="898"/>
      <c r="DV7" s="898"/>
      <c r="DW7" s="898"/>
      <c r="DX7" s="898"/>
      <c r="DY7" s="898"/>
      <c r="DZ7" s="898"/>
      <c r="EA7" s="898"/>
      <c r="EB7" s="898"/>
      <c r="EC7" s="898"/>
      <c r="ED7" s="898"/>
      <c r="EE7" s="898"/>
      <c r="EF7" s="898"/>
      <c r="EG7" s="898"/>
      <c r="EH7" s="898"/>
      <c r="EI7" s="898"/>
      <c r="EJ7" s="898"/>
      <c r="EK7" s="898"/>
      <c r="EL7" s="898"/>
      <c r="EM7" s="898"/>
      <c r="EN7" s="898"/>
      <c r="EO7" s="898"/>
      <c r="EP7" s="898"/>
      <c r="EQ7" s="898"/>
      <c r="ER7" s="898"/>
      <c r="ES7" s="898"/>
      <c r="ET7" s="898"/>
      <c r="EU7" s="898"/>
      <c r="EV7" s="898"/>
      <c r="EW7" s="898"/>
      <c r="EX7" s="898"/>
      <c r="EY7" s="898"/>
      <c r="EZ7" s="898"/>
      <c r="FA7" s="898"/>
      <c r="FB7" s="898"/>
      <c r="FC7" s="898"/>
      <c r="FD7" s="898"/>
      <c r="FE7" s="898"/>
      <c r="FF7" s="898"/>
      <c r="FG7" s="898"/>
      <c r="FH7" s="898"/>
      <c r="FI7" s="898"/>
      <c r="FJ7" s="898"/>
      <c r="FK7" s="898"/>
      <c r="FL7" s="898"/>
      <c r="FM7" s="898"/>
      <c r="FN7" s="898"/>
      <c r="FO7" s="898"/>
      <c r="FP7" s="898"/>
      <c r="FQ7" s="898"/>
      <c r="FR7" s="898"/>
      <c r="FS7" s="898"/>
      <c r="FT7" s="898"/>
      <c r="FU7" s="898"/>
      <c r="FV7" s="898"/>
      <c r="FW7" s="898"/>
      <c r="FX7" s="898"/>
      <c r="FY7" s="898"/>
      <c r="FZ7" s="898"/>
      <c r="GA7" s="898"/>
      <c r="GB7" s="898"/>
      <c r="GC7" s="898"/>
      <c r="GD7" s="898"/>
      <c r="GE7" s="898"/>
      <c r="GF7" s="898"/>
      <c r="GG7" s="898"/>
      <c r="GH7" s="898"/>
      <c r="GI7" s="898"/>
      <c r="GJ7" s="898"/>
      <c r="GK7" s="898"/>
      <c r="GL7" s="898"/>
      <c r="GM7" s="898"/>
      <c r="GN7" s="898"/>
      <c r="GO7" s="898"/>
      <c r="GP7" s="898"/>
      <c r="GQ7" s="898"/>
      <c r="GR7" s="898"/>
      <c r="GS7" s="898"/>
      <c r="GT7" s="898"/>
      <c r="GU7" s="898"/>
      <c r="GV7" s="898"/>
      <c r="GW7" s="898"/>
      <c r="GX7" s="898"/>
      <c r="GY7" s="898"/>
      <c r="GZ7" s="898"/>
      <c r="HA7" s="898"/>
      <c r="HB7" s="898"/>
      <c r="HC7" s="898"/>
      <c r="HD7" s="898"/>
      <c r="HE7" s="898"/>
      <c r="HF7" s="898"/>
      <c r="HG7" s="898"/>
      <c r="HH7" s="898"/>
      <c r="HI7" s="898"/>
      <c r="HJ7" s="898"/>
      <c r="HK7" s="898"/>
      <c r="HL7" s="898"/>
      <c r="HM7" s="898"/>
      <c r="HN7" s="898"/>
      <c r="HO7" s="898"/>
      <c r="HP7" s="898"/>
      <c r="HQ7" s="898"/>
      <c r="HR7" s="898"/>
      <c r="HS7" s="898"/>
      <c r="HT7" s="898"/>
      <c r="HU7" s="898"/>
      <c r="HV7" s="898"/>
      <c r="HW7" s="898"/>
      <c r="HX7" s="898"/>
      <c r="HY7" s="898"/>
      <c r="HZ7" s="898"/>
      <c r="IA7" s="898"/>
      <c r="IB7" s="898"/>
      <c r="IC7" s="898"/>
      <c r="ID7" s="898"/>
      <c r="IE7" s="898"/>
      <c r="IF7" s="898"/>
      <c r="IG7" s="898"/>
      <c r="IH7" s="898"/>
      <c r="II7" s="898"/>
      <c r="IJ7" s="898"/>
      <c r="IK7" s="898"/>
      <c r="IL7" s="898"/>
      <c r="IM7" s="898"/>
      <c r="IN7" s="898"/>
      <c r="IO7" s="898"/>
      <c r="IP7" s="898"/>
      <c r="IQ7" s="898"/>
      <c r="IR7" s="898"/>
      <c r="IS7" s="898"/>
      <c r="IT7" s="898"/>
      <c r="IU7" s="898"/>
      <c r="IV7" s="898"/>
      <c r="IW7" s="898"/>
      <c r="IX7" s="898"/>
      <c r="IY7" s="898"/>
      <c r="IZ7" s="898"/>
      <c r="JA7" s="898"/>
      <c r="JB7" s="898"/>
      <c r="JC7" s="898"/>
      <c r="JD7" s="898"/>
      <c r="JE7" s="898"/>
      <c r="JF7" s="898"/>
      <c r="JG7" s="898"/>
      <c r="JH7" s="898"/>
      <c r="JI7" s="898"/>
      <c r="JJ7" s="898"/>
      <c r="JK7" s="898"/>
      <c r="JL7" s="898"/>
      <c r="JM7" s="898"/>
      <c r="JN7" s="898"/>
      <c r="JO7" s="898"/>
      <c r="JP7" s="898"/>
      <c r="JQ7" s="898"/>
      <c r="JR7" s="898"/>
      <c r="JS7" s="898"/>
      <c r="JT7" s="898"/>
      <c r="JU7" s="898"/>
      <c r="JV7" s="898"/>
      <c r="JW7" s="898"/>
      <c r="JX7" s="898"/>
      <c r="JY7" s="898"/>
      <c r="JZ7" s="898"/>
      <c r="KA7" s="898"/>
      <c r="KB7" s="898"/>
      <c r="KC7" s="898"/>
      <c r="KD7" s="898"/>
      <c r="KE7" s="898"/>
      <c r="KF7" s="898"/>
      <c r="KG7" s="898"/>
      <c r="KH7" s="898"/>
      <c r="KI7" s="898"/>
      <c r="KJ7" s="898"/>
      <c r="KK7" s="898"/>
      <c r="KL7" s="898"/>
      <c r="KM7" s="898"/>
      <c r="KN7" s="898"/>
      <c r="KO7" s="898"/>
      <c r="KP7" s="898"/>
      <c r="KQ7" s="898"/>
      <c r="KR7" s="898"/>
      <c r="KS7" s="898"/>
      <c r="KT7" s="898"/>
      <c r="KU7" s="898"/>
      <c r="KV7" s="898"/>
      <c r="KW7" s="898"/>
      <c r="KX7" s="898"/>
      <c r="KY7" s="898"/>
      <c r="KZ7" s="898"/>
      <c r="LA7" s="898"/>
      <c r="LB7" s="898"/>
      <c r="LC7" s="898"/>
      <c r="LD7" s="898"/>
      <c r="LE7" s="898"/>
      <c r="LF7" s="898"/>
      <c r="LG7" s="898"/>
      <c r="LH7" s="898"/>
      <c r="LI7" s="898"/>
      <c r="LJ7" s="898"/>
      <c r="LK7" s="898"/>
      <c r="LL7" s="898"/>
      <c r="LM7" s="898"/>
      <c r="LN7" s="898"/>
      <c r="LO7" s="898"/>
      <c r="LP7" s="898"/>
      <c r="LQ7" s="898"/>
      <c r="LR7" s="898"/>
      <c r="LS7" s="898"/>
      <c r="LT7" s="898"/>
      <c r="LU7" s="898"/>
      <c r="LV7" s="898"/>
      <c r="LW7" s="898"/>
      <c r="LX7" s="898"/>
      <c r="LY7" s="898"/>
      <c r="LZ7" s="898"/>
      <c r="MA7" s="898"/>
      <c r="MB7" s="898"/>
      <c r="MC7" s="898"/>
      <c r="MD7" s="898"/>
      <c r="ME7" s="898"/>
      <c r="MF7" s="898"/>
      <c r="MG7" s="898"/>
      <c r="MH7" s="898"/>
      <c r="MI7" s="898"/>
      <c r="MJ7" s="898"/>
      <c r="MK7" s="898"/>
      <c r="ML7" s="898"/>
      <c r="MM7" s="898"/>
      <c r="MN7" s="898"/>
      <c r="MO7" s="898"/>
      <c r="MP7" s="898"/>
      <c r="MQ7" s="898"/>
      <c r="MR7" s="898"/>
      <c r="MS7" s="898"/>
      <c r="MT7" s="898"/>
      <c r="MU7" s="898"/>
      <c r="MV7" s="898"/>
      <c r="MW7" s="898"/>
      <c r="MX7" s="898"/>
      <c r="MY7" s="898"/>
      <c r="MZ7" s="898"/>
      <c r="NA7" s="898"/>
      <c r="NB7" s="898"/>
      <c r="NC7" s="898"/>
      <c r="ND7" s="898"/>
      <c r="NE7" s="898"/>
      <c r="NF7" s="898"/>
      <c r="NG7" s="898"/>
      <c r="NH7" s="898"/>
      <c r="NI7" s="898"/>
      <c r="NJ7" s="898"/>
      <c r="NK7" s="898"/>
      <c r="NL7" s="898"/>
      <c r="NM7" s="898"/>
      <c r="NN7" s="898"/>
      <c r="NO7" s="898"/>
      <c r="NP7" s="898"/>
      <c r="NQ7" s="898"/>
      <c r="NR7" s="898"/>
      <c r="NS7" s="898"/>
      <c r="NT7" s="898"/>
      <c r="NU7" s="898"/>
      <c r="NV7" s="898"/>
      <c r="NW7" s="898"/>
      <c r="NX7" s="898"/>
      <c r="NY7" s="898"/>
      <c r="NZ7" s="898"/>
      <c r="OA7" s="898"/>
      <c r="OB7" s="898"/>
      <c r="OC7" s="898"/>
      <c r="OD7" s="898"/>
      <c r="OE7" s="898"/>
      <c r="OF7" s="898"/>
      <c r="OG7" s="898"/>
      <c r="OH7" s="898"/>
      <c r="OI7" s="898"/>
      <c r="OJ7" s="898"/>
      <c r="OK7" s="898"/>
      <c r="OL7" s="898"/>
      <c r="OM7" s="898"/>
      <c r="ON7" s="898"/>
      <c r="OO7" s="898"/>
      <c r="OP7" s="898"/>
      <c r="OQ7" s="898"/>
      <c r="OR7" s="898"/>
      <c r="OS7" s="898"/>
      <c r="OT7" s="898"/>
      <c r="OU7" s="898"/>
      <c r="OV7" s="898"/>
      <c r="OW7" s="898"/>
      <c r="OX7" s="898"/>
      <c r="OY7" s="898"/>
      <c r="OZ7" s="898"/>
      <c r="PA7" s="898"/>
      <c r="PB7" s="898"/>
      <c r="PC7" s="898"/>
      <c r="PD7" s="898"/>
      <c r="PE7" s="898"/>
      <c r="PF7" s="898"/>
      <c r="PG7" s="898"/>
      <c r="PH7" s="898"/>
      <c r="PI7" s="898"/>
      <c r="PJ7" s="898"/>
      <c r="PK7" s="898"/>
      <c r="PL7" s="898"/>
      <c r="PM7" s="898"/>
      <c r="PN7" s="898"/>
      <c r="PO7" s="898"/>
    </row>
    <row r="8" spans="1:431" s="65" customFormat="1" ht="31.5" thickBot="1">
      <c r="A8" s="547" t="s">
        <v>784</v>
      </c>
      <c r="B8" s="572" t="s">
        <v>727</v>
      </c>
      <c r="C8" s="891" t="s">
        <v>150</v>
      </c>
      <c r="D8" s="891" t="s">
        <v>150</v>
      </c>
      <c r="E8" s="891" t="s">
        <v>150</v>
      </c>
      <c r="F8" s="891" t="s">
        <v>150</v>
      </c>
      <c r="G8" s="561"/>
      <c r="H8" s="891" t="s">
        <v>150</v>
      </c>
      <c r="I8" s="891" t="s">
        <v>150</v>
      </c>
      <c r="J8" s="426">
        <v>748.2</v>
      </c>
      <c r="K8" s="426">
        <v>692.1</v>
      </c>
      <c r="L8" s="849">
        <v>721.1</v>
      </c>
      <c r="M8" s="891">
        <v>650.77</v>
      </c>
      <c r="N8" s="891">
        <v>564.20000000000005</v>
      </c>
      <c r="O8" s="426"/>
      <c r="P8" s="426"/>
      <c r="Q8" s="849">
        <f>SUMPRODUCT(M8:P8,M4:P4)/SUM(M4:P4)</f>
        <v>605.10941553813268</v>
      </c>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row>
    <row r="9" spans="1:431" s="165" customFormat="1">
      <c r="A9" s="945"/>
      <c r="B9" s="945"/>
      <c r="C9" s="948"/>
      <c r="D9" s="948"/>
      <c r="E9" s="948"/>
      <c r="F9" s="948"/>
      <c r="G9" s="948"/>
      <c r="H9" s="948"/>
      <c r="I9" s="948"/>
      <c r="J9" s="948"/>
      <c r="K9" s="948"/>
      <c r="L9" s="948"/>
      <c r="M9" s="948"/>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5"/>
      <c r="AY9" s="945"/>
      <c r="AZ9" s="945"/>
      <c r="BA9" s="945"/>
      <c r="BB9" s="945"/>
      <c r="BC9" s="945"/>
      <c r="BD9" s="945"/>
      <c r="BE9" s="945"/>
      <c r="BF9" s="945"/>
      <c r="BG9" s="945"/>
      <c r="BH9" s="945"/>
      <c r="BI9" s="945"/>
      <c r="BJ9" s="945"/>
      <c r="BK9" s="945"/>
      <c r="BL9" s="945"/>
      <c r="BM9" s="945"/>
      <c r="BN9" s="945"/>
      <c r="BO9" s="945"/>
      <c r="BP9" s="945"/>
      <c r="BQ9" s="945"/>
      <c r="BR9" s="945"/>
      <c r="BS9" s="945"/>
      <c r="BT9" s="945"/>
      <c r="BU9" s="945"/>
      <c r="BV9" s="945"/>
      <c r="BW9" s="945"/>
      <c r="BX9" s="945"/>
      <c r="BY9" s="945"/>
      <c r="BZ9" s="945"/>
      <c r="CA9" s="945"/>
      <c r="CB9" s="945"/>
      <c r="CC9" s="945"/>
      <c r="CD9" s="945"/>
      <c r="CE9" s="945"/>
      <c r="CF9" s="945"/>
      <c r="CG9" s="945"/>
      <c r="CH9" s="945"/>
      <c r="CI9" s="945"/>
      <c r="CJ9" s="945"/>
      <c r="CK9" s="945"/>
      <c r="CL9" s="945"/>
      <c r="CM9" s="945"/>
      <c r="CN9" s="945"/>
      <c r="CO9" s="945"/>
      <c r="CP9" s="945"/>
      <c r="CQ9" s="945"/>
      <c r="CR9" s="945"/>
      <c r="CS9" s="945"/>
      <c r="CT9" s="945"/>
      <c r="CU9" s="945"/>
      <c r="CV9" s="945"/>
      <c r="CW9" s="945"/>
      <c r="CX9" s="945"/>
      <c r="CY9" s="945"/>
      <c r="CZ9" s="945"/>
      <c r="DA9" s="945"/>
      <c r="DB9" s="945"/>
      <c r="DC9" s="945"/>
      <c r="DD9" s="945"/>
      <c r="DE9" s="945"/>
      <c r="DF9" s="945"/>
      <c r="DG9" s="945"/>
      <c r="DH9" s="945"/>
      <c r="DI9" s="945"/>
      <c r="DJ9" s="945"/>
      <c r="DK9" s="945"/>
      <c r="DL9" s="945"/>
      <c r="DM9" s="945"/>
      <c r="DN9" s="945"/>
      <c r="DO9" s="945"/>
      <c r="DP9" s="945"/>
      <c r="DQ9" s="945"/>
      <c r="DR9" s="945"/>
      <c r="DS9" s="945"/>
      <c r="DT9" s="945"/>
      <c r="DU9" s="945"/>
      <c r="DV9" s="945"/>
      <c r="DW9" s="945"/>
      <c r="DX9" s="945"/>
      <c r="DY9" s="945"/>
      <c r="DZ9" s="945"/>
      <c r="EA9" s="945"/>
      <c r="EB9" s="945"/>
      <c r="EC9" s="945"/>
      <c r="ED9" s="945"/>
      <c r="EE9" s="945"/>
      <c r="EF9" s="945"/>
      <c r="EG9" s="945"/>
      <c r="EH9" s="945"/>
      <c r="EI9" s="945"/>
      <c r="EJ9" s="945"/>
      <c r="EK9" s="945"/>
      <c r="EL9" s="945"/>
      <c r="EM9" s="945"/>
      <c r="EN9" s="945"/>
      <c r="EO9" s="945"/>
      <c r="EP9" s="945"/>
      <c r="EQ9" s="945"/>
      <c r="ER9" s="945"/>
      <c r="ES9" s="945"/>
      <c r="ET9" s="945"/>
      <c r="EU9" s="945"/>
      <c r="EV9" s="945"/>
      <c r="EW9" s="945"/>
      <c r="EX9" s="945"/>
      <c r="EY9" s="945"/>
      <c r="EZ9" s="945"/>
      <c r="FA9" s="945"/>
      <c r="FB9" s="945"/>
      <c r="FC9" s="945"/>
      <c r="FD9" s="945"/>
      <c r="FE9" s="945"/>
      <c r="FF9" s="945"/>
      <c r="FG9" s="945"/>
      <c r="FH9" s="945"/>
      <c r="FI9" s="945"/>
      <c r="FJ9" s="945"/>
      <c r="FK9" s="945"/>
      <c r="FL9" s="945"/>
      <c r="FM9" s="945"/>
      <c r="FN9" s="945"/>
      <c r="FO9" s="945"/>
      <c r="FP9" s="945"/>
      <c r="FQ9" s="945"/>
      <c r="FR9" s="945"/>
      <c r="FS9" s="945"/>
      <c r="FT9" s="945"/>
      <c r="FU9" s="945"/>
      <c r="FV9" s="945"/>
      <c r="FW9" s="945"/>
      <c r="FX9" s="945"/>
      <c r="FY9" s="945"/>
      <c r="FZ9" s="945"/>
      <c r="GA9" s="945"/>
      <c r="GB9" s="945"/>
      <c r="GC9" s="945"/>
      <c r="GD9" s="945"/>
      <c r="GE9" s="945"/>
      <c r="GF9" s="945"/>
      <c r="GG9" s="945"/>
      <c r="GH9" s="945"/>
      <c r="GI9" s="945"/>
      <c r="GJ9" s="945"/>
      <c r="GK9" s="945"/>
      <c r="GL9" s="945"/>
      <c r="GM9" s="945"/>
      <c r="GN9" s="945"/>
      <c r="GO9" s="945"/>
      <c r="GP9" s="945"/>
      <c r="GQ9" s="945"/>
      <c r="GR9" s="945"/>
      <c r="GS9" s="945"/>
      <c r="GT9" s="945"/>
      <c r="GU9" s="945"/>
      <c r="GV9" s="945"/>
      <c r="GW9" s="945"/>
      <c r="GX9" s="945"/>
      <c r="GY9" s="945"/>
      <c r="GZ9" s="945"/>
      <c r="HA9" s="945"/>
      <c r="HB9" s="945"/>
      <c r="HC9" s="945"/>
      <c r="HD9" s="945"/>
      <c r="HE9" s="945"/>
      <c r="HF9" s="945"/>
      <c r="HG9" s="945"/>
      <c r="HH9" s="945"/>
      <c r="HI9" s="945"/>
      <c r="HJ9" s="945"/>
      <c r="HK9" s="945"/>
      <c r="HL9" s="945"/>
      <c r="HM9" s="945"/>
      <c r="HN9" s="945"/>
      <c r="HO9" s="945"/>
      <c r="HP9" s="945"/>
      <c r="HQ9" s="945"/>
      <c r="HR9" s="945"/>
      <c r="HS9" s="945"/>
      <c r="HT9" s="945"/>
      <c r="HU9" s="945"/>
      <c r="HV9" s="945"/>
      <c r="HW9" s="945"/>
      <c r="HX9" s="945"/>
      <c r="HY9" s="945"/>
      <c r="HZ9" s="945"/>
      <c r="IA9" s="945"/>
      <c r="IB9" s="945"/>
      <c r="IC9" s="945"/>
      <c r="ID9" s="945"/>
      <c r="IE9" s="945"/>
      <c r="IF9" s="945"/>
      <c r="IG9" s="945"/>
      <c r="IH9" s="945"/>
      <c r="II9" s="945"/>
      <c r="IJ9" s="945"/>
      <c r="IK9" s="945"/>
      <c r="IL9" s="945"/>
      <c r="IM9" s="945"/>
      <c r="IN9" s="945"/>
      <c r="IO9" s="945"/>
      <c r="IP9" s="945"/>
      <c r="IQ9" s="945"/>
      <c r="IR9" s="945"/>
      <c r="IS9" s="945"/>
      <c r="IT9" s="945"/>
      <c r="IU9" s="945"/>
      <c r="IV9" s="945"/>
      <c r="IW9" s="945"/>
      <c r="IX9" s="945"/>
      <c r="IY9" s="945"/>
      <c r="IZ9" s="945"/>
      <c r="JA9" s="945"/>
      <c r="JB9" s="945"/>
      <c r="JC9" s="945"/>
      <c r="JD9" s="945"/>
      <c r="JE9" s="945"/>
      <c r="JF9" s="945"/>
      <c r="JG9" s="945"/>
      <c r="JH9" s="945"/>
      <c r="JI9" s="945"/>
      <c r="JJ9" s="945"/>
      <c r="JK9" s="945"/>
      <c r="JL9" s="945"/>
      <c r="JM9" s="945"/>
      <c r="JN9" s="945"/>
      <c r="JO9" s="945"/>
      <c r="JP9" s="945"/>
      <c r="JQ9" s="945"/>
      <c r="JR9" s="945"/>
      <c r="JS9" s="945"/>
      <c r="JT9" s="945"/>
      <c r="JU9" s="945"/>
      <c r="JV9" s="945"/>
      <c r="JW9" s="945"/>
      <c r="JX9" s="945"/>
      <c r="JY9" s="945"/>
      <c r="JZ9" s="945"/>
      <c r="KA9" s="945"/>
      <c r="KB9" s="945"/>
      <c r="KC9" s="945"/>
      <c r="KD9" s="945"/>
      <c r="KE9" s="945"/>
      <c r="KF9" s="945"/>
      <c r="KG9" s="945"/>
      <c r="KH9" s="945"/>
      <c r="KI9" s="945"/>
      <c r="KJ9" s="945"/>
      <c r="KK9" s="945"/>
      <c r="KL9" s="945"/>
      <c r="KM9" s="945"/>
      <c r="KN9" s="945"/>
      <c r="KO9" s="945"/>
      <c r="KP9" s="945"/>
      <c r="KQ9" s="945"/>
      <c r="KR9" s="945"/>
      <c r="KS9" s="945"/>
      <c r="KT9" s="945"/>
      <c r="KU9" s="945"/>
      <c r="KV9" s="945"/>
      <c r="KW9" s="945"/>
      <c r="KX9" s="945"/>
      <c r="KY9" s="945"/>
      <c r="KZ9" s="945"/>
      <c r="LA9" s="945"/>
      <c r="LB9" s="945"/>
      <c r="LC9" s="945"/>
      <c r="LD9" s="945"/>
      <c r="LE9" s="945"/>
      <c r="LF9" s="945"/>
      <c r="LG9" s="945"/>
      <c r="LH9" s="945"/>
      <c r="LI9" s="945"/>
      <c r="LJ9" s="945"/>
      <c r="LK9" s="945"/>
      <c r="LL9" s="945"/>
      <c r="LM9" s="945"/>
      <c r="LN9" s="945"/>
      <c r="LO9" s="945"/>
      <c r="LP9" s="945"/>
      <c r="LQ9" s="945"/>
      <c r="LR9" s="945"/>
      <c r="LS9" s="945"/>
      <c r="LT9" s="945"/>
      <c r="LU9" s="945"/>
      <c r="LV9" s="945"/>
      <c r="LW9" s="945"/>
      <c r="LX9" s="945"/>
      <c r="LY9" s="945"/>
      <c r="LZ9" s="945"/>
      <c r="MA9" s="945"/>
      <c r="MB9" s="945"/>
      <c r="MC9" s="945"/>
      <c r="MD9" s="945"/>
      <c r="ME9" s="945"/>
      <c r="MF9" s="945"/>
      <c r="MG9" s="945"/>
      <c r="MH9" s="945"/>
      <c r="MI9" s="945"/>
      <c r="MJ9" s="945"/>
      <c r="MK9" s="945"/>
      <c r="ML9" s="945"/>
      <c r="MM9" s="945"/>
      <c r="MN9" s="945"/>
      <c r="MO9" s="945"/>
      <c r="MP9" s="945"/>
      <c r="MQ9" s="945"/>
      <c r="MR9" s="945"/>
      <c r="MS9" s="945"/>
      <c r="MT9" s="945"/>
      <c r="MU9" s="945"/>
      <c r="MV9" s="945"/>
      <c r="MW9" s="945"/>
      <c r="MX9" s="945"/>
      <c r="MY9" s="945"/>
      <c r="MZ9" s="945"/>
      <c r="NA9" s="945"/>
      <c r="NB9" s="945"/>
      <c r="NC9" s="945"/>
      <c r="ND9" s="945"/>
      <c r="NE9" s="945"/>
      <c r="NF9" s="945"/>
      <c r="NG9" s="945"/>
      <c r="NH9" s="945"/>
      <c r="NI9" s="945"/>
      <c r="NJ9" s="945"/>
      <c r="NK9" s="945"/>
      <c r="NL9" s="945"/>
      <c r="NM9" s="945"/>
      <c r="NN9" s="945"/>
      <c r="NO9" s="945"/>
      <c r="NP9" s="945"/>
      <c r="NQ9" s="945"/>
      <c r="NR9" s="945"/>
      <c r="NS9" s="945"/>
      <c r="NT9" s="945"/>
      <c r="NU9" s="945"/>
      <c r="NV9" s="945"/>
      <c r="NW9" s="945"/>
      <c r="NX9" s="945"/>
      <c r="NY9" s="945"/>
      <c r="NZ9" s="945"/>
      <c r="OA9" s="945"/>
      <c r="OB9" s="945"/>
      <c r="OC9" s="945"/>
      <c r="OD9" s="945"/>
      <c r="OE9" s="945"/>
      <c r="OF9" s="945"/>
      <c r="OG9" s="945"/>
      <c r="OH9" s="945"/>
      <c r="OI9" s="945"/>
      <c r="OJ9" s="945"/>
      <c r="OK9" s="945"/>
      <c r="OL9" s="945"/>
      <c r="OM9" s="945"/>
      <c r="ON9" s="945"/>
      <c r="OO9" s="945"/>
      <c r="OP9" s="945"/>
      <c r="OQ9" s="945"/>
      <c r="OR9" s="945"/>
      <c r="OS9" s="945"/>
      <c r="OT9" s="945"/>
      <c r="OU9" s="945"/>
      <c r="OV9" s="945"/>
      <c r="OW9" s="945"/>
      <c r="OX9" s="945"/>
      <c r="OY9" s="945"/>
      <c r="OZ9" s="945"/>
      <c r="PA9" s="945"/>
      <c r="PB9" s="945"/>
      <c r="PC9" s="945"/>
      <c r="PD9" s="945"/>
      <c r="PE9" s="945"/>
      <c r="PF9" s="945"/>
      <c r="PG9" s="945"/>
      <c r="PH9" s="945"/>
      <c r="PI9" s="945"/>
      <c r="PJ9" s="945"/>
      <c r="PK9" s="945"/>
      <c r="PL9" s="945"/>
      <c r="PM9" s="945"/>
      <c r="PN9" s="945"/>
      <c r="PO9" s="945"/>
    </row>
    <row r="10" spans="1:431" s="165" customFormat="1" ht="29">
      <c r="A10" s="978" t="s">
        <v>781</v>
      </c>
      <c r="B10" s="980" t="s">
        <v>786</v>
      </c>
      <c r="C10" s="948"/>
      <c r="D10" s="948"/>
      <c r="E10" s="948"/>
      <c r="F10" s="948"/>
      <c r="G10" s="948"/>
      <c r="H10" s="948"/>
      <c r="I10" s="948"/>
      <c r="J10" s="948"/>
      <c r="K10" s="948"/>
      <c r="L10" s="948"/>
      <c r="M10" s="945"/>
      <c r="N10" s="945"/>
      <c r="O10" s="945"/>
      <c r="P10" s="945"/>
      <c r="Q10" s="945"/>
      <c r="R10" s="945"/>
      <c r="S10" s="945"/>
      <c r="T10" s="945"/>
      <c r="U10" s="945"/>
      <c r="V10" s="945"/>
      <c r="W10" s="945"/>
      <c r="X10" s="945"/>
      <c r="Y10" s="945"/>
      <c r="Z10" s="945"/>
      <c r="AA10" s="945"/>
      <c r="AB10" s="945"/>
      <c r="AC10" s="945"/>
      <c r="AD10" s="945"/>
      <c r="AE10" s="945"/>
      <c r="AF10" s="945"/>
      <c r="AG10" s="945"/>
      <c r="AH10" s="945"/>
      <c r="AI10" s="945"/>
      <c r="AJ10" s="945"/>
      <c r="AK10" s="945"/>
      <c r="AL10" s="945"/>
      <c r="AM10" s="945"/>
      <c r="AN10" s="945"/>
      <c r="AO10" s="945"/>
      <c r="AP10" s="945"/>
      <c r="AQ10" s="945"/>
      <c r="AR10" s="945"/>
      <c r="AS10" s="945"/>
      <c r="AT10" s="945"/>
      <c r="AU10" s="945"/>
      <c r="AV10" s="945"/>
      <c r="AW10" s="945"/>
      <c r="AX10" s="945"/>
      <c r="AY10" s="945"/>
      <c r="AZ10" s="945"/>
      <c r="BA10" s="945"/>
      <c r="BB10" s="945"/>
      <c r="BC10" s="945"/>
      <c r="BD10" s="945"/>
      <c r="BE10" s="945"/>
      <c r="BF10" s="945"/>
      <c r="BG10" s="945"/>
      <c r="BH10" s="945"/>
      <c r="BI10" s="945"/>
      <c r="BJ10" s="945"/>
      <c r="BK10" s="945"/>
      <c r="BL10" s="945"/>
      <c r="BM10" s="945"/>
      <c r="BN10" s="945"/>
      <c r="BO10" s="945"/>
      <c r="BP10" s="945"/>
      <c r="BQ10" s="945"/>
      <c r="BR10" s="945"/>
      <c r="BS10" s="945"/>
      <c r="BT10" s="945"/>
      <c r="BU10" s="945"/>
      <c r="BV10" s="945"/>
      <c r="BW10" s="945"/>
      <c r="BX10" s="945"/>
      <c r="BY10" s="945"/>
      <c r="BZ10" s="945"/>
      <c r="CA10" s="945"/>
      <c r="CB10" s="945"/>
      <c r="CC10" s="945"/>
      <c r="CD10" s="945"/>
      <c r="CE10" s="945"/>
      <c r="CF10" s="945"/>
      <c r="CG10" s="945"/>
      <c r="CH10" s="945"/>
      <c r="CI10" s="945"/>
      <c r="CJ10" s="945"/>
      <c r="CK10" s="945"/>
      <c r="CL10" s="945"/>
      <c r="CM10" s="945"/>
      <c r="CN10" s="945"/>
      <c r="CO10" s="945"/>
      <c r="CP10" s="945"/>
      <c r="CQ10" s="945"/>
      <c r="CR10" s="945"/>
      <c r="CS10" s="945"/>
      <c r="CT10" s="945"/>
      <c r="CU10" s="945"/>
      <c r="CV10" s="945"/>
      <c r="CW10" s="945"/>
      <c r="CX10" s="945"/>
      <c r="CY10" s="945"/>
      <c r="CZ10" s="945"/>
      <c r="DA10" s="945"/>
      <c r="DB10" s="945"/>
      <c r="DC10" s="945"/>
      <c r="DD10" s="945"/>
      <c r="DE10" s="945"/>
      <c r="DF10" s="945"/>
      <c r="DG10" s="945"/>
      <c r="DH10" s="945"/>
      <c r="DI10" s="945"/>
      <c r="DJ10" s="945"/>
      <c r="DK10" s="945"/>
      <c r="DL10" s="945"/>
      <c r="DM10" s="945"/>
      <c r="DN10" s="945"/>
      <c r="DO10" s="945"/>
      <c r="DP10" s="945"/>
      <c r="DQ10" s="945"/>
      <c r="DR10" s="945"/>
      <c r="DS10" s="945"/>
      <c r="DT10" s="945"/>
      <c r="DU10" s="945"/>
      <c r="DV10" s="945"/>
      <c r="DW10" s="945"/>
      <c r="DX10" s="945"/>
      <c r="DY10" s="945"/>
      <c r="DZ10" s="945"/>
      <c r="EA10" s="945"/>
      <c r="EB10" s="945"/>
      <c r="EC10" s="945"/>
      <c r="ED10" s="945"/>
      <c r="EE10" s="945"/>
      <c r="EF10" s="945"/>
      <c r="EG10" s="945"/>
      <c r="EH10" s="945"/>
      <c r="EI10" s="945"/>
      <c r="EJ10" s="945"/>
      <c r="EK10" s="945"/>
      <c r="EL10" s="945"/>
      <c r="EM10" s="945"/>
      <c r="EN10" s="945"/>
      <c r="EO10" s="945"/>
      <c r="EP10" s="945"/>
      <c r="EQ10" s="945"/>
      <c r="ER10" s="945"/>
      <c r="ES10" s="945"/>
      <c r="ET10" s="945"/>
      <c r="EU10" s="945"/>
      <c r="EV10" s="945"/>
      <c r="EW10" s="945"/>
      <c r="EX10" s="945"/>
      <c r="EY10" s="945"/>
      <c r="EZ10" s="945"/>
      <c r="FA10" s="945"/>
      <c r="FB10" s="945"/>
      <c r="FC10" s="945"/>
      <c r="FD10" s="945"/>
      <c r="FE10" s="945"/>
      <c r="FF10" s="945"/>
      <c r="FG10" s="945"/>
      <c r="FH10" s="945"/>
      <c r="FI10" s="945"/>
      <c r="FJ10" s="945"/>
      <c r="FK10" s="945"/>
      <c r="FL10" s="945"/>
      <c r="FM10" s="945"/>
      <c r="FN10" s="945"/>
      <c r="FO10" s="945"/>
      <c r="FP10" s="945"/>
      <c r="FQ10" s="945"/>
      <c r="FR10" s="945"/>
      <c r="FS10" s="945"/>
      <c r="FT10" s="945"/>
      <c r="FU10" s="945"/>
      <c r="FV10" s="945"/>
      <c r="FW10" s="945"/>
      <c r="FX10" s="945"/>
      <c r="FY10" s="945"/>
      <c r="FZ10" s="945"/>
      <c r="GA10" s="945"/>
      <c r="GB10" s="945"/>
      <c r="GC10" s="945"/>
      <c r="GD10" s="945"/>
      <c r="GE10" s="945"/>
      <c r="GF10" s="945"/>
      <c r="GG10" s="945"/>
      <c r="GH10" s="945"/>
      <c r="GI10" s="945"/>
      <c r="GJ10" s="945"/>
      <c r="GK10" s="945"/>
      <c r="GL10" s="945"/>
      <c r="GM10" s="945"/>
      <c r="GN10" s="945"/>
      <c r="GO10" s="945"/>
      <c r="GP10" s="945"/>
      <c r="GQ10" s="945"/>
      <c r="GR10" s="945"/>
      <c r="GS10" s="945"/>
      <c r="GT10" s="945"/>
      <c r="GU10" s="945"/>
      <c r="GV10" s="945"/>
      <c r="GW10" s="945"/>
      <c r="GX10" s="945"/>
      <c r="GY10" s="945"/>
      <c r="GZ10" s="945"/>
      <c r="HA10" s="945"/>
      <c r="HB10" s="945"/>
      <c r="HC10" s="945"/>
      <c r="HD10" s="945"/>
      <c r="HE10" s="945"/>
      <c r="HF10" s="945"/>
      <c r="HG10" s="945"/>
      <c r="HH10" s="945"/>
      <c r="HI10" s="945"/>
      <c r="HJ10" s="945"/>
      <c r="HK10" s="945"/>
      <c r="HL10" s="945"/>
      <c r="HM10" s="945"/>
      <c r="HN10" s="945"/>
      <c r="HO10" s="945"/>
      <c r="HP10" s="945"/>
      <c r="HQ10" s="945"/>
      <c r="HR10" s="945"/>
      <c r="HS10" s="945"/>
      <c r="HT10" s="945"/>
      <c r="HU10" s="945"/>
      <c r="HV10" s="945"/>
      <c r="HW10" s="945"/>
      <c r="HX10" s="945"/>
      <c r="HY10" s="945"/>
      <c r="HZ10" s="945"/>
      <c r="IA10" s="945"/>
      <c r="IB10" s="945"/>
      <c r="IC10" s="945"/>
      <c r="ID10" s="945"/>
      <c r="IE10" s="945"/>
      <c r="IF10" s="945"/>
      <c r="IG10" s="945"/>
      <c r="IH10" s="945"/>
      <c r="II10" s="945"/>
      <c r="IJ10" s="945"/>
      <c r="IK10" s="945"/>
      <c r="IL10" s="945"/>
      <c r="IM10" s="945"/>
      <c r="IN10" s="945"/>
      <c r="IO10" s="945"/>
      <c r="IP10" s="945"/>
      <c r="IQ10" s="945"/>
      <c r="IR10" s="945"/>
      <c r="IS10" s="945"/>
      <c r="IT10" s="945"/>
      <c r="IU10" s="945"/>
      <c r="IV10" s="945"/>
      <c r="IW10" s="945"/>
      <c r="IX10" s="945"/>
      <c r="IY10" s="945"/>
      <c r="IZ10" s="945"/>
      <c r="JA10" s="945"/>
      <c r="JB10" s="945"/>
      <c r="JC10" s="945"/>
      <c r="JD10" s="945"/>
      <c r="JE10" s="945"/>
      <c r="JF10" s="945"/>
      <c r="JG10" s="945"/>
      <c r="JH10" s="945"/>
      <c r="JI10" s="945"/>
      <c r="JJ10" s="945"/>
      <c r="JK10" s="945"/>
      <c r="JL10" s="945"/>
      <c r="JM10" s="945"/>
      <c r="JN10" s="945"/>
      <c r="JO10" s="945"/>
      <c r="JP10" s="945"/>
      <c r="JQ10" s="945"/>
      <c r="JR10" s="945"/>
      <c r="JS10" s="945"/>
      <c r="JT10" s="945"/>
      <c r="JU10" s="945"/>
      <c r="JV10" s="945"/>
      <c r="JW10" s="945"/>
      <c r="JX10" s="945"/>
      <c r="JY10" s="945"/>
      <c r="JZ10" s="945"/>
      <c r="KA10" s="945"/>
      <c r="KB10" s="945"/>
      <c r="KC10" s="945"/>
      <c r="KD10" s="945"/>
      <c r="KE10" s="945"/>
      <c r="KF10" s="945"/>
      <c r="KG10" s="945"/>
      <c r="KH10" s="945"/>
      <c r="KI10" s="945"/>
      <c r="KJ10" s="945"/>
      <c r="KK10" s="945"/>
      <c r="KL10" s="945"/>
      <c r="KM10" s="945"/>
      <c r="KN10" s="945"/>
      <c r="KO10" s="945"/>
      <c r="KP10" s="945"/>
      <c r="KQ10" s="945"/>
      <c r="KR10" s="945"/>
      <c r="KS10" s="945"/>
      <c r="KT10" s="945"/>
      <c r="KU10" s="945"/>
      <c r="KV10" s="945"/>
      <c r="KW10" s="945"/>
      <c r="KX10" s="945"/>
      <c r="KY10" s="945"/>
      <c r="KZ10" s="945"/>
      <c r="LA10" s="945"/>
      <c r="LB10" s="945"/>
      <c r="LC10" s="945"/>
      <c r="LD10" s="945"/>
      <c r="LE10" s="945"/>
      <c r="LF10" s="945"/>
      <c r="LG10" s="945"/>
      <c r="LH10" s="945"/>
      <c r="LI10" s="945"/>
      <c r="LJ10" s="945"/>
      <c r="LK10" s="945"/>
      <c r="LL10" s="945"/>
      <c r="LM10" s="945"/>
      <c r="LN10" s="945"/>
      <c r="LO10" s="945"/>
      <c r="LP10" s="945"/>
      <c r="LQ10" s="945"/>
      <c r="LR10" s="945"/>
      <c r="LS10" s="945"/>
      <c r="LT10" s="945"/>
      <c r="LU10" s="945"/>
      <c r="LV10" s="945"/>
      <c r="LW10" s="945"/>
      <c r="LX10" s="945"/>
      <c r="LY10" s="945"/>
      <c r="LZ10" s="945"/>
      <c r="MA10" s="945"/>
      <c r="MB10" s="945"/>
      <c r="MC10" s="945"/>
      <c r="MD10" s="945"/>
      <c r="ME10" s="945"/>
      <c r="MF10" s="945"/>
      <c r="MG10" s="945"/>
      <c r="MH10" s="945"/>
      <c r="MI10" s="945"/>
      <c r="MJ10" s="945"/>
      <c r="MK10" s="945"/>
      <c r="ML10" s="945"/>
      <c r="MM10" s="945"/>
      <c r="MN10" s="945"/>
      <c r="MO10" s="945"/>
      <c r="MP10" s="945"/>
      <c r="MQ10" s="945"/>
      <c r="MR10" s="945"/>
      <c r="MS10" s="945"/>
      <c r="MT10" s="945"/>
      <c r="MU10" s="945"/>
      <c r="MV10" s="945"/>
      <c r="MW10" s="945"/>
      <c r="MX10" s="945"/>
      <c r="MY10" s="945"/>
      <c r="MZ10" s="945"/>
      <c r="NA10" s="945"/>
      <c r="NB10" s="945"/>
      <c r="NC10" s="945"/>
      <c r="ND10" s="945"/>
      <c r="NE10" s="945"/>
      <c r="NF10" s="945"/>
      <c r="NG10" s="945"/>
      <c r="NH10" s="945"/>
      <c r="NI10" s="945"/>
      <c r="NJ10" s="945"/>
      <c r="NK10" s="945"/>
      <c r="NL10" s="945"/>
      <c r="NM10" s="945"/>
      <c r="NN10" s="945"/>
      <c r="NO10" s="945"/>
      <c r="NP10" s="945"/>
      <c r="NQ10" s="945"/>
      <c r="NR10" s="945"/>
      <c r="NS10" s="945"/>
      <c r="NT10" s="945"/>
      <c r="NU10" s="945"/>
      <c r="NV10" s="945"/>
      <c r="NW10" s="945"/>
      <c r="NX10" s="945"/>
      <c r="NY10" s="945"/>
      <c r="NZ10" s="945"/>
      <c r="OA10" s="945"/>
      <c r="OB10" s="945"/>
      <c r="OC10" s="945"/>
      <c r="OD10" s="945"/>
      <c r="OE10" s="945"/>
      <c r="OF10" s="945"/>
      <c r="OG10" s="945"/>
      <c r="OH10" s="945"/>
      <c r="OI10" s="945"/>
      <c r="OJ10" s="945"/>
      <c r="OK10" s="945"/>
      <c r="OL10" s="945"/>
      <c r="OM10" s="945"/>
      <c r="ON10" s="945"/>
      <c r="OO10" s="945"/>
      <c r="OP10" s="945"/>
      <c r="OQ10" s="945"/>
      <c r="OR10" s="945"/>
      <c r="OS10" s="945"/>
      <c r="OT10" s="945"/>
      <c r="OU10" s="945"/>
      <c r="OV10" s="945"/>
      <c r="OW10" s="945"/>
      <c r="OX10" s="945"/>
      <c r="OY10" s="945"/>
      <c r="OZ10" s="945"/>
      <c r="PA10" s="945"/>
      <c r="PB10" s="945"/>
      <c r="PC10" s="945"/>
      <c r="PD10" s="945"/>
      <c r="PE10" s="945"/>
      <c r="PF10" s="945"/>
      <c r="PG10" s="945"/>
      <c r="PH10" s="945"/>
      <c r="PI10" s="945"/>
      <c r="PJ10" s="945"/>
      <c r="PK10" s="945"/>
      <c r="PL10" s="945"/>
      <c r="PM10" s="945"/>
      <c r="PN10" s="945"/>
      <c r="PO10" s="945"/>
    </row>
    <row r="11" spans="1:431" s="165" customFormat="1" ht="43.5">
      <c r="A11" s="978" t="s">
        <v>785</v>
      </c>
      <c r="B11" s="978" t="s">
        <v>787</v>
      </c>
      <c r="C11" s="951"/>
      <c r="D11" s="951"/>
      <c r="E11" s="174"/>
      <c r="F11" s="174"/>
      <c r="G11" s="948"/>
      <c r="H11" s="951"/>
      <c r="I11" s="951"/>
      <c r="J11" s="172"/>
      <c r="K11" s="172"/>
      <c r="L11" s="948"/>
      <c r="M11" s="945"/>
      <c r="N11" s="945"/>
      <c r="O11" s="945"/>
      <c r="P11" s="945"/>
      <c r="Q11" s="945"/>
      <c r="R11" s="945"/>
      <c r="S11" s="945"/>
      <c r="T11" s="945"/>
      <c r="U11" s="945"/>
      <c r="V11" s="945"/>
      <c r="W11" s="945"/>
      <c r="X11" s="945"/>
      <c r="Y11" s="945"/>
      <c r="Z11" s="945"/>
      <c r="AA11" s="945"/>
      <c r="AB11" s="945"/>
      <c r="AC11" s="945"/>
      <c r="AD11" s="945"/>
      <c r="AE11" s="945"/>
      <c r="AF11" s="945"/>
      <c r="AG11" s="945"/>
      <c r="AH11" s="945"/>
      <c r="AI11" s="945"/>
      <c r="AJ11" s="945"/>
      <c r="AK11" s="945"/>
      <c r="AL11" s="945"/>
      <c r="AM11" s="945"/>
      <c r="AN11" s="945"/>
      <c r="AO11" s="945"/>
      <c r="AP11" s="945"/>
      <c r="AQ11" s="945"/>
      <c r="AR11" s="945"/>
      <c r="AS11" s="945"/>
      <c r="AT11" s="945"/>
      <c r="AU11" s="945"/>
      <c r="AV11" s="945"/>
      <c r="AW11" s="945"/>
      <c r="AX11" s="945"/>
      <c r="AY11" s="945"/>
      <c r="AZ11" s="945"/>
      <c r="BA11" s="945"/>
      <c r="BB11" s="945"/>
      <c r="BC11" s="945"/>
      <c r="BD11" s="945"/>
      <c r="BE11" s="945"/>
      <c r="BF11" s="945"/>
      <c r="BG11" s="945"/>
      <c r="BH11" s="945"/>
      <c r="BI11" s="945"/>
      <c r="BJ11" s="945"/>
      <c r="BK11" s="945"/>
      <c r="BL11" s="945"/>
      <c r="BM11" s="945"/>
      <c r="BN11" s="945"/>
      <c r="BO11" s="945"/>
      <c r="BP11" s="945"/>
      <c r="BQ11" s="945"/>
      <c r="BR11" s="945"/>
      <c r="BS11" s="945"/>
      <c r="BT11" s="945"/>
      <c r="BU11" s="945"/>
      <c r="BV11" s="945"/>
      <c r="BW11" s="945"/>
      <c r="BX11" s="945"/>
      <c r="BY11" s="945"/>
      <c r="BZ11" s="945"/>
      <c r="CA11" s="945"/>
      <c r="CB11" s="945"/>
      <c r="CC11" s="945"/>
      <c r="CD11" s="945"/>
      <c r="CE11" s="945"/>
      <c r="CF11" s="945"/>
      <c r="CG11" s="945"/>
      <c r="CH11" s="945"/>
      <c r="CI11" s="945"/>
      <c r="CJ11" s="945"/>
      <c r="CK11" s="945"/>
      <c r="CL11" s="945"/>
      <c r="CM11" s="945"/>
      <c r="CN11" s="945"/>
      <c r="CO11" s="945"/>
      <c r="CP11" s="945"/>
      <c r="CQ11" s="945"/>
      <c r="CR11" s="945"/>
      <c r="CS11" s="945"/>
      <c r="CT11" s="945"/>
      <c r="CU11" s="945"/>
      <c r="CV11" s="945"/>
      <c r="CW11" s="945"/>
      <c r="CX11" s="945"/>
      <c r="CY11" s="945"/>
      <c r="CZ11" s="945"/>
      <c r="DA11" s="945"/>
      <c r="DB11" s="945"/>
      <c r="DC11" s="945"/>
      <c r="DD11" s="945"/>
      <c r="DE11" s="945"/>
      <c r="DF11" s="945"/>
      <c r="DG11" s="945"/>
      <c r="DH11" s="945"/>
      <c r="DI11" s="945"/>
      <c r="DJ11" s="945"/>
      <c r="DK11" s="945"/>
      <c r="DL11" s="945"/>
      <c r="DM11" s="945"/>
      <c r="DN11" s="945"/>
      <c r="DO11" s="945"/>
      <c r="DP11" s="945"/>
      <c r="DQ11" s="945"/>
      <c r="DR11" s="945"/>
      <c r="DS11" s="945"/>
      <c r="DT11" s="945"/>
      <c r="DU11" s="945"/>
      <c r="DV11" s="945"/>
      <c r="DW11" s="945"/>
      <c r="DX11" s="945"/>
      <c r="DY11" s="945"/>
      <c r="DZ11" s="945"/>
      <c r="EA11" s="945"/>
      <c r="EB11" s="945"/>
      <c r="EC11" s="945"/>
      <c r="ED11" s="945"/>
      <c r="EE11" s="945"/>
      <c r="EF11" s="945"/>
      <c r="EG11" s="945"/>
      <c r="EH11" s="945"/>
      <c r="EI11" s="945"/>
      <c r="EJ11" s="945"/>
      <c r="EK11" s="945"/>
      <c r="EL11" s="945"/>
      <c r="EM11" s="945"/>
      <c r="EN11" s="945"/>
      <c r="EO11" s="945"/>
      <c r="EP11" s="945"/>
      <c r="EQ11" s="945"/>
      <c r="ER11" s="945"/>
      <c r="ES11" s="945"/>
      <c r="ET11" s="945"/>
      <c r="EU11" s="945"/>
      <c r="EV11" s="945"/>
      <c r="EW11" s="945"/>
      <c r="EX11" s="945"/>
      <c r="EY11" s="945"/>
      <c r="EZ11" s="945"/>
      <c r="FA11" s="945"/>
      <c r="FB11" s="945"/>
      <c r="FC11" s="945"/>
      <c r="FD11" s="945"/>
      <c r="FE11" s="945"/>
      <c r="FF11" s="945"/>
      <c r="FG11" s="945"/>
      <c r="FH11" s="945"/>
      <c r="FI11" s="945"/>
      <c r="FJ11" s="945"/>
      <c r="FK11" s="945"/>
      <c r="FL11" s="945"/>
      <c r="FM11" s="945"/>
      <c r="FN11" s="945"/>
      <c r="FO11" s="945"/>
      <c r="FP11" s="945"/>
      <c r="FQ11" s="945"/>
      <c r="FR11" s="945"/>
      <c r="FS11" s="945"/>
      <c r="FT11" s="945"/>
      <c r="FU11" s="945"/>
      <c r="FV11" s="945"/>
      <c r="FW11" s="945"/>
      <c r="FX11" s="945"/>
      <c r="FY11" s="945"/>
      <c r="FZ11" s="945"/>
      <c r="GA11" s="945"/>
      <c r="GB11" s="945"/>
      <c r="GC11" s="945"/>
      <c r="GD11" s="945"/>
      <c r="GE11" s="945"/>
      <c r="GF11" s="945"/>
      <c r="GG11" s="945"/>
      <c r="GH11" s="945"/>
      <c r="GI11" s="945"/>
      <c r="GJ11" s="945"/>
      <c r="GK11" s="945"/>
      <c r="GL11" s="945"/>
      <c r="GM11" s="945"/>
      <c r="GN11" s="945"/>
      <c r="GO11" s="945"/>
      <c r="GP11" s="945"/>
      <c r="GQ11" s="945"/>
      <c r="GR11" s="945"/>
      <c r="GS11" s="945"/>
      <c r="GT11" s="945"/>
      <c r="GU11" s="945"/>
      <c r="GV11" s="945"/>
      <c r="GW11" s="945"/>
      <c r="GX11" s="945"/>
      <c r="GY11" s="945"/>
      <c r="GZ11" s="945"/>
      <c r="HA11" s="945"/>
      <c r="HB11" s="945"/>
      <c r="HC11" s="945"/>
      <c r="HD11" s="945"/>
      <c r="HE11" s="945"/>
      <c r="HF11" s="945"/>
      <c r="HG11" s="945"/>
      <c r="HH11" s="945"/>
      <c r="HI11" s="945"/>
      <c r="HJ11" s="945"/>
      <c r="HK11" s="945"/>
      <c r="HL11" s="945"/>
      <c r="HM11" s="945"/>
      <c r="HN11" s="945"/>
      <c r="HO11" s="945"/>
      <c r="HP11" s="945"/>
      <c r="HQ11" s="945"/>
      <c r="HR11" s="945"/>
      <c r="HS11" s="945"/>
      <c r="HT11" s="945"/>
      <c r="HU11" s="945"/>
      <c r="HV11" s="945"/>
      <c r="HW11" s="945"/>
      <c r="HX11" s="945"/>
      <c r="HY11" s="945"/>
      <c r="HZ11" s="945"/>
      <c r="IA11" s="945"/>
      <c r="IB11" s="945"/>
      <c r="IC11" s="945"/>
      <c r="ID11" s="945"/>
      <c r="IE11" s="945"/>
      <c r="IF11" s="945"/>
      <c r="IG11" s="945"/>
      <c r="IH11" s="945"/>
      <c r="II11" s="945"/>
      <c r="IJ11" s="945"/>
      <c r="IK11" s="945"/>
      <c r="IL11" s="945"/>
      <c r="IM11" s="945"/>
      <c r="IN11" s="945"/>
      <c r="IO11" s="945"/>
      <c r="IP11" s="945"/>
      <c r="IQ11" s="945"/>
      <c r="IR11" s="945"/>
      <c r="IS11" s="945"/>
      <c r="IT11" s="945"/>
      <c r="IU11" s="945"/>
      <c r="IV11" s="945"/>
      <c r="IW11" s="945"/>
      <c r="IX11" s="945"/>
      <c r="IY11" s="945"/>
      <c r="IZ11" s="945"/>
      <c r="JA11" s="945"/>
      <c r="JB11" s="945"/>
      <c r="JC11" s="945"/>
      <c r="JD11" s="945"/>
      <c r="JE11" s="945"/>
      <c r="JF11" s="945"/>
      <c r="JG11" s="945"/>
      <c r="JH11" s="945"/>
      <c r="JI11" s="945"/>
      <c r="JJ11" s="945"/>
      <c r="JK11" s="945"/>
      <c r="JL11" s="945"/>
      <c r="JM11" s="945"/>
      <c r="JN11" s="945"/>
      <c r="JO11" s="945"/>
      <c r="JP11" s="945"/>
      <c r="JQ11" s="945"/>
      <c r="JR11" s="945"/>
      <c r="JS11" s="945"/>
      <c r="JT11" s="945"/>
      <c r="JU11" s="945"/>
      <c r="JV11" s="945"/>
      <c r="JW11" s="945"/>
      <c r="JX11" s="945"/>
      <c r="JY11" s="945"/>
      <c r="JZ11" s="945"/>
      <c r="KA11" s="945"/>
      <c r="KB11" s="945"/>
      <c r="KC11" s="945"/>
      <c r="KD11" s="945"/>
      <c r="KE11" s="945"/>
      <c r="KF11" s="945"/>
      <c r="KG11" s="945"/>
      <c r="KH11" s="945"/>
      <c r="KI11" s="945"/>
      <c r="KJ11" s="945"/>
      <c r="KK11" s="945"/>
      <c r="KL11" s="945"/>
      <c r="KM11" s="945"/>
      <c r="KN11" s="945"/>
      <c r="KO11" s="945"/>
      <c r="KP11" s="945"/>
      <c r="KQ11" s="945"/>
      <c r="KR11" s="945"/>
      <c r="KS11" s="945"/>
      <c r="KT11" s="945"/>
      <c r="KU11" s="945"/>
      <c r="KV11" s="945"/>
      <c r="KW11" s="945"/>
      <c r="KX11" s="945"/>
      <c r="KY11" s="945"/>
      <c r="KZ11" s="945"/>
      <c r="LA11" s="945"/>
      <c r="LB11" s="945"/>
      <c r="LC11" s="945"/>
      <c r="LD11" s="945"/>
      <c r="LE11" s="945"/>
      <c r="LF11" s="945"/>
      <c r="LG11" s="945"/>
      <c r="LH11" s="945"/>
      <c r="LI11" s="945"/>
      <c r="LJ11" s="945"/>
      <c r="LK11" s="945"/>
      <c r="LL11" s="945"/>
      <c r="LM11" s="945"/>
      <c r="LN11" s="945"/>
      <c r="LO11" s="945"/>
      <c r="LP11" s="945"/>
      <c r="LQ11" s="945"/>
      <c r="LR11" s="945"/>
      <c r="LS11" s="945"/>
      <c r="LT11" s="945"/>
      <c r="LU11" s="945"/>
      <c r="LV11" s="945"/>
      <c r="LW11" s="945"/>
      <c r="LX11" s="945"/>
      <c r="LY11" s="945"/>
      <c r="LZ11" s="945"/>
      <c r="MA11" s="945"/>
      <c r="MB11" s="945"/>
      <c r="MC11" s="945"/>
      <c r="MD11" s="945"/>
      <c r="ME11" s="945"/>
      <c r="MF11" s="945"/>
      <c r="MG11" s="945"/>
      <c r="MH11" s="945"/>
      <c r="MI11" s="945"/>
      <c r="MJ11" s="945"/>
      <c r="MK11" s="945"/>
      <c r="ML11" s="945"/>
      <c r="MM11" s="945"/>
      <c r="MN11" s="945"/>
      <c r="MO11" s="945"/>
      <c r="MP11" s="945"/>
      <c r="MQ11" s="945"/>
      <c r="MR11" s="945"/>
      <c r="MS11" s="945"/>
      <c r="MT11" s="945"/>
      <c r="MU11" s="945"/>
      <c r="MV11" s="945"/>
      <c r="MW11" s="945"/>
      <c r="MX11" s="945"/>
      <c r="MY11" s="945"/>
      <c r="MZ11" s="945"/>
      <c r="NA11" s="945"/>
      <c r="NB11" s="945"/>
      <c r="NC11" s="945"/>
      <c r="ND11" s="945"/>
      <c r="NE11" s="945"/>
      <c r="NF11" s="945"/>
      <c r="NG11" s="945"/>
      <c r="NH11" s="945"/>
      <c r="NI11" s="945"/>
      <c r="NJ11" s="945"/>
      <c r="NK11" s="945"/>
      <c r="NL11" s="945"/>
      <c r="NM11" s="945"/>
      <c r="NN11" s="945"/>
      <c r="NO11" s="945"/>
      <c r="NP11" s="945"/>
      <c r="NQ11" s="945"/>
      <c r="NR11" s="945"/>
      <c r="NS11" s="945"/>
      <c r="NT11" s="945"/>
      <c r="NU11" s="945"/>
      <c r="NV11" s="945"/>
      <c r="NW11" s="945"/>
      <c r="NX11" s="945"/>
      <c r="NY11" s="945"/>
      <c r="NZ11" s="945"/>
      <c r="OA11" s="945"/>
      <c r="OB11" s="945"/>
      <c r="OC11" s="945"/>
      <c r="OD11" s="945"/>
      <c r="OE11" s="945"/>
      <c r="OF11" s="945"/>
      <c r="OG11" s="945"/>
      <c r="OH11" s="945"/>
      <c r="OI11" s="945"/>
      <c r="OJ11" s="945"/>
      <c r="OK11" s="945"/>
      <c r="OL11" s="945"/>
      <c r="OM11" s="945"/>
      <c r="ON11" s="945"/>
      <c r="OO11" s="945"/>
      <c r="OP11" s="945"/>
      <c r="OQ11" s="945"/>
      <c r="OR11" s="945"/>
      <c r="OS11" s="945"/>
      <c r="OT11" s="945"/>
      <c r="OU11" s="945"/>
      <c r="OV11" s="945"/>
      <c r="OW11" s="945"/>
      <c r="OX11" s="945"/>
      <c r="OY11" s="945"/>
      <c r="OZ11" s="945"/>
      <c r="PA11" s="945"/>
      <c r="PB11" s="945"/>
      <c r="PC11" s="945"/>
      <c r="PD11" s="945"/>
      <c r="PE11" s="945"/>
      <c r="PF11" s="945"/>
      <c r="PG11" s="945"/>
      <c r="PH11" s="945"/>
      <c r="PI11" s="945"/>
      <c r="PJ11" s="945"/>
      <c r="PK11" s="945"/>
      <c r="PL11" s="945"/>
      <c r="PM11" s="945"/>
      <c r="PN11" s="945"/>
      <c r="PO11" s="945"/>
    </row>
    <row r="12" spans="1:431" s="165" customFormat="1">
      <c r="A12" s="979"/>
      <c r="B12" s="945"/>
      <c r="C12" s="948"/>
      <c r="D12" s="952"/>
      <c r="E12" s="951"/>
      <c r="F12" s="951"/>
      <c r="G12" s="948"/>
      <c r="H12" s="948"/>
      <c r="I12" s="952"/>
      <c r="J12" s="951"/>
      <c r="K12" s="951"/>
      <c r="L12" s="948"/>
      <c r="M12" s="945"/>
      <c r="N12" s="945"/>
      <c r="O12" s="945"/>
      <c r="P12" s="945"/>
      <c r="Q12" s="945"/>
      <c r="R12" s="945"/>
      <c r="S12" s="945"/>
      <c r="T12" s="945"/>
      <c r="U12" s="945"/>
      <c r="V12" s="945"/>
      <c r="W12" s="945"/>
      <c r="X12" s="945"/>
      <c r="Y12" s="945"/>
      <c r="Z12" s="945"/>
      <c r="AA12" s="945"/>
      <c r="AB12" s="945"/>
      <c r="AC12" s="945"/>
      <c r="AD12" s="945"/>
      <c r="AE12" s="945"/>
      <c r="AF12" s="945"/>
      <c r="AG12" s="945"/>
      <c r="AH12" s="945"/>
      <c r="AI12" s="945"/>
      <c r="AJ12" s="945"/>
      <c r="AK12" s="945"/>
      <c r="AL12" s="945"/>
      <c r="AM12" s="945"/>
      <c r="AN12" s="945"/>
      <c r="AO12" s="945"/>
      <c r="AP12" s="945"/>
      <c r="AQ12" s="945"/>
      <c r="AR12" s="945"/>
      <c r="AS12" s="945"/>
      <c r="AT12" s="945"/>
      <c r="AU12" s="945"/>
      <c r="AV12" s="945"/>
      <c r="AW12" s="945"/>
      <c r="AX12" s="945"/>
      <c r="AY12" s="945"/>
      <c r="AZ12" s="945"/>
      <c r="BA12" s="945"/>
      <c r="BB12" s="945"/>
      <c r="BC12" s="945"/>
      <c r="BD12" s="945"/>
      <c r="BE12" s="945"/>
      <c r="BF12" s="945"/>
      <c r="BG12" s="945"/>
      <c r="BH12" s="945"/>
      <c r="BI12" s="945"/>
      <c r="BJ12" s="945"/>
      <c r="BK12" s="945"/>
      <c r="BL12" s="945"/>
      <c r="BM12" s="945"/>
      <c r="BN12" s="945"/>
      <c r="BO12" s="945"/>
      <c r="BP12" s="945"/>
      <c r="BQ12" s="945"/>
      <c r="BR12" s="945"/>
      <c r="BS12" s="945"/>
      <c r="BT12" s="945"/>
      <c r="BU12" s="945"/>
      <c r="BV12" s="945"/>
      <c r="BW12" s="945"/>
      <c r="BX12" s="945"/>
      <c r="BY12" s="945"/>
      <c r="BZ12" s="945"/>
      <c r="CA12" s="945"/>
      <c r="CB12" s="945"/>
      <c r="CC12" s="945"/>
      <c r="CD12" s="945"/>
      <c r="CE12" s="945"/>
      <c r="CF12" s="945"/>
      <c r="CG12" s="945"/>
      <c r="CH12" s="945"/>
      <c r="CI12" s="945"/>
      <c r="CJ12" s="945"/>
      <c r="CK12" s="945"/>
      <c r="CL12" s="945"/>
      <c r="CM12" s="945"/>
      <c r="CN12" s="945"/>
      <c r="CO12" s="945"/>
      <c r="CP12" s="945"/>
      <c r="CQ12" s="945"/>
      <c r="CR12" s="945"/>
      <c r="CS12" s="945"/>
      <c r="CT12" s="945"/>
      <c r="CU12" s="945"/>
      <c r="CV12" s="945"/>
      <c r="CW12" s="945"/>
      <c r="CX12" s="945"/>
      <c r="CY12" s="945"/>
      <c r="CZ12" s="945"/>
      <c r="DA12" s="945"/>
      <c r="DB12" s="945"/>
      <c r="DC12" s="945"/>
      <c r="DD12" s="945"/>
      <c r="DE12" s="945"/>
      <c r="DF12" s="945"/>
      <c r="DG12" s="945"/>
      <c r="DH12" s="945"/>
      <c r="DI12" s="945"/>
      <c r="DJ12" s="945"/>
      <c r="DK12" s="945"/>
      <c r="DL12" s="945"/>
      <c r="DM12" s="945"/>
      <c r="DN12" s="945"/>
      <c r="DO12" s="945"/>
      <c r="DP12" s="945"/>
      <c r="DQ12" s="945"/>
      <c r="DR12" s="945"/>
      <c r="DS12" s="945"/>
      <c r="DT12" s="945"/>
      <c r="DU12" s="945"/>
      <c r="DV12" s="945"/>
      <c r="DW12" s="945"/>
      <c r="DX12" s="945"/>
      <c r="DY12" s="945"/>
      <c r="DZ12" s="945"/>
      <c r="EA12" s="945"/>
      <c r="EB12" s="945"/>
      <c r="EC12" s="945"/>
      <c r="ED12" s="945"/>
      <c r="EE12" s="945"/>
      <c r="EF12" s="945"/>
      <c r="EG12" s="945"/>
      <c r="EH12" s="945"/>
      <c r="EI12" s="945"/>
      <c r="EJ12" s="945"/>
      <c r="EK12" s="945"/>
      <c r="EL12" s="945"/>
      <c r="EM12" s="945"/>
      <c r="EN12" s="945"/>
      <c r="EO12" s="945"/>
      <c r="EP12" s="945"/>
      <c r="EQ12" s="945"/>
      <c r="ER12" s="945"/>
      <c r="ES12" s="945"/>
      <c r="ET12" s="945"/>
      <c r="EU12" s="945"/>
      <c r="EV12" s="945"/>
      <c r="EW12" s="945"/>
      <c r="EX12" s="945"/>
      <c r="EY12" s="945"/>
      <c r="EZ12" s="945"/>
      <c r="FA12" s="945"/>
      <c r="FB12" s="945"/>
      <c r="FC12" s="945"/>
      <c r="FD12" s="945"/>
      <c r="FE12" s="945"/>
      <c r="FF12" s="945"/>
      <c r="FG12" s="945"/>
      <c r="FH12" s="945"/>
      <c r="FI12" s="945"/>
      <c r="FJ12" s="945"/>
      <c r="FK12" s="945"/>
      <c r="FL12" s="945"/>
      <c r="FM12" s="945"/>
      <c r="FN12" s="945"/>
      <c r="FO12" s="945"/>
      <c r="FP12" s="945"/>
      <c r="FQ12" s="945"/>
      <c r="FR12" s="945"/>
      <c r="FS12" s="945"/>
      <c r="FT12" s="945"/>
      <c r="FU12" s="945"/>
      <c r="FV12" s="945"/>
      <c r="FW12" s="945"/>
      <c r="FX12" s="945"/>
      <c r="FY12" s="945"/>
      <c r="FZ12" s="945"/>
      <c r="GA12" s="945"/>
      <c r="GB12" s="945"/>
      <c r="GC12" s="945"/>
      <c r="GD12" s="945"/>
      <c r="GE12" s="945"/>
      <c r="GF12" s="945"/>
      <c r="GG12" s="945"/>
      <c r="GH12" s="945"/>
      <c r="GI12" s="945"/>
      <c r="GJ12" s="945"/>
      <c r="GK12" s="945"/>
      <c r="GL12" s="945"/>
      <c r="GM12" s="945"/>
      <c r="GN12" s="945"/>
      <c r="GO12" s="945"/>
      <c r="GP12" s="945"/>
      <c r="GQ12" s="945"/>
      <c r="GR12" s="945"/>
      <c r="GS12" s="945"/>
      <c r="GT12" s="945"/>
      <c r="GU12" s="945"/>
      <c r="GV12" s="945"/>
      <c r="GW12" s="945"/>
      <c r="GX12" s="945"/>
      <c r="GY12" s="945"/>
      <c r="GZ12" s="945"/>
      <c r="HA12" s="945"/>
      <c r="HB12" s="945"/>
      <c r="HC12" s="945"/>
      <c r="HD12" s="945"/>
      <c r="HE12" s="945"/>
      <c r="HF12" s="945"/>
      <c r="HG12" s="945"/>
      <c r="HH12" s="945"/>
      <c r="HI12" s="945"/>
      <c r="HJ12" s="945"/>
      <c r="HK12" s="945"/>
      <c r="HL12" s="945"/>
      <c r="HM12" s="945"/>
      <c r="HN12" s="945"/>
      <c r="HO12" s="945"/>
      <c r="HP12" s="945"/>
      <c r="HQ12" s="945"/>
      <c r="HR12" s="945"/>
      <c r="HS12" s="945"/>
      <c r="HT12" s="945"/>
      <c r="HU12" s="945"/>
      <c r="HV12" s="945"/>
      <c r="HW12" s="945"/>
      <c r="HX12" s="945"/>
      <c r="HY12" s="945"/>
      <c r="HZ12" s="945"/>
      <c r="IA12" s="945"/>
      <c r="IB12" s="945"/>
      <c r="IC12" s="945"/>
      <c r="ID12" s="945"/>
      <c r="IE12" s="945"/>
      <c r="IF12" s="945"/>
      <c r="IG12" s="945"/>
      <c r="IH12" s="945"/>
      <c r="II12" s="945"/>
      <c r="IJ12" s="945"/>
      <c r="IK12" s="945"/>
      <c r="IL12" s="945"/>
      <c r="IM12" s="945"/>
      <c r="IN12" s="945"/>
      <c r="IO12" s="945"/>
      <c r="IP12" s="945"/>
      <c r="IQ12" s="945"/>
      <c r="IR12" s="945"/>
      <c r="IS12" s="945"/>
      <c r="IT12" s="945"/>
      <c r="IU12" s="945"/>
      <c r="IV12" s="945"/>
      <c r="IW12" s="945"/>
      <c r="IX12" s="945"/>
      <c r="IY12" s="945"/>
      <c r="IZ12" s="945"/>
      <c r="JA12" s="945"/>
      <c r="JB12" s="945"/>
      <c r="JC12" s="945"/>
      <c r="JD12" s="945"/>
      <c r="JE12" s="945"/>
      <c r="JF12" s="945"/>
      <c r="JG12" s="945"/>
      <c r="JH12" s="945"/>
      <c r="JI12" s="945"/>
      <c r="JJ12" s="945"/>
      <c r="JK12" s="945"/>
      <c r="JL12" s="945"/>
      <c r="JM12" s="945"/>
      <c r="JN12" s="945"/>
      <c r="JO12" s="945"/>
      <c r="JP12" s="945"/>
      <c r="JQ12" s="945"/>
      <c r="JR12" s="945"/>
      <c r="JS12" s="945"/>
      <c r="JT12" s="945"/>
      <c r="JU12" s="945"/>
      <c r="JV12" s="945"/>
      <c r="JW12" s="945"/>
      <c r="JX12" s="945"/>
      <c r="JY12" s="945"/>
      <c r="JZ12" s="945"/>
      <c r="KA12" s="945"/>
      <c r="KB12" s="945"/>
      <c r="KC12" s="945"/>
      <c r="KD12" s="945"/>
      <c r="KE12" s="945"/>
      <c r="KF12" s="945"/>
      <c r="KG12" s="945"/>
      <c r="KH12" s="945"/>
      <c r="KI12" s="945"/>
      <c r="KJ12" s="945"/>
      <c r="KK12" s="945"/>
      <c r="KL12" s="945"/>
      <c r="KM12" s="945"/>
      <c r="KN12" s="945"/>
      <c r="KO12" s="945"/>
      <c r="KP12" s="945"/>
      <c r="KQ12" s="945"/>
      <c r="KR12" s="945"/>
      <c r="KS12" s="945"/>
      <c r="KT12" s="945"/>
      <c r="KU12" s="945"/>
      <c r="KV12" s="945"/>
      <c r="KW12" s="945"/>
      <c r="KX12" s="945"/>
      <c r="KY12" s="945"/>
      <c r="KZ12" s="945"/>
      <c r="LA12" s="945"/>
      <c r="LB12" s="945"/>
      <c r="LC12" s="945"/>
      <c r="LD12" s="945"/>
      <c r="LE12" s="945"/>
      <c r="LF12" s="945"/>
      <c r="LG12" s="945"/>
      <c r="LH12" s="945"/>
      <c r="LI12" s="945"/>
      <c r="LJ12" s="945"/>
      <c r="LK12" s="945"/>
      <c r="LL12" s="945"/>
      <c r="LM12" s="945"/>
      <c r="LN12" s="945"/>
      <c r="LO12" s="945"/>
      <c r="LP12" s="945"/>
      <c r="LQ12" s="945"/>
      <c r="LR12" s="945"/>
      <c r="LS12" s="945"/>
      <c r="LT12" s="945"/>
      <c r="LU12" s="945"/>
      <c r="LV12" s="945"/>
      <c r="LW12" s="945"/>
      <c r="LX12" s="945"/>
      <c r="LY12" s="945"/>
      <c r="LZ12" s="945"/>
      <c r="MA12" s="945"/>
      <c r="MB12" s="945"/>
      <c r="MC12" s="945"/>
      <c r="MD12" s="945"/>
      <c r="ME12" s="945"/>
      <c r="MF12" s="945"/>
      <c r="MG12" s="945"/>
      <c r="MH12" s="945"/>
      <c r="MI12" s="945"/>
      <c r="MJ12" s="945"/>
      <c r="MK12" s="945"/>
      <c r="ML12" s="945"/>
      <c r="MM12" s="945"/>
      <c r="MN12" s="945"/>
      <c r="MO12" s="945"/>
      <c r="MP12" s="945"/>
      <c r="MQ12" s="945"/>
      <c r="MR12" s="945"/>
      <c r="MS12" s="945"/>
      <c r="MT12" s="945"/>
      <c r="MU12" s="945"/>
      <c r="MV12" s="945"/>
      <c r="MW12" s="945"/>
      <c r="MX12" s="945"/>
      <c r="MY12" s="945"/>
      <c r="MZ12" s="945"/>
      <c r="NA12" s="945"/>
      <c r="NB12" s="945"/>
      <c r="NC12" s="945"/>
      <c r="ND12" s="945"/>
      <c r="NE12" s="945"/>
      <c r="NF12" s="945"/>
      <c r="NG12" s="945"/>
      <c r="NH12" s="945"/>
      <c r="NI12" s="945"/>
      <c r="NJ12" s="945"/>
      <c r="NK12" s="945"/>
      <c r="NL12" s="945"/>
      <c r="NM12" s="945"/>
      <c r="NN12" s="945"/>
      <c r="NO12" s="945"/>
      <c r="NP12" s="945"/>
      <c r="NQ12" s="945"/>
      <c r="NR12" s="945"/>
      <c r="NS12" s="945"/>
      <c r="NT12" s="945"/>
      <c r="NU12" s="945"/>
      <c r="NV12" s="945"/>
      <c r="NW12" s="945"/>
      <c r="NX12" s="945"/>
      <c r="NY12" s="945"/>
      <c r="NZ12" s="945"/>
      <c r="OA12" s="945"/>
      <c r="OB12" s="945"/>
      <c r="OC12" s="945"/>
      <c r="OD12" s="945"/>
      <c r="OE12" s="945"/>
      <c r="OF12" s="945"/>
      <c r="OG12" s="945"/>
      <c r="OH12" s="945"/>
      <c r="OI12" s="945"/>
      <c r="OJ12" s="945"/>
      <c r="OK12" s="945"/>
      <c r="OL12" s="945"/>
      <c r="OM12" s="945"/>
      <c r="ON12" s="945"/>
      <c r="OO12" s="945"/>
      <c r="OP12" s="945"/>
      <c r="OQ12" s="945"/>
      <c r="OR12" s="945"/>
      <c r="OS12" s="945"/>
      <c r="OT12" s="945"/>
      <c r="OU12" s="945"/>
      <c r="OV12" s="945"/>
      <c r="OW12" s="945"/>
      <c r="OX12" s="945"/>
      <c r="OY12" s="945"/>
      <c r="OZ12" s="945"/>
      <c r="PA12" s="945"/>
      <c r="PB12" s="945"/>
      <c r="PC12" s="945"/>
      <c r="PD12" s="945"/>
      <c r="PE12" s="945"/>
      <c r="PF12" s="945"/>
      <c r="PG12" s="945"/>
      <c r="PH12" s="945"/>
      <c r="PI12" s="945"/>
      <c r="PJ12" s="945"/>
      <c r="PK12" s="945"/>
      <c r="PL12" s="945"/>
      <c r="PM12" s="945"/>
      <c r="PN12" s="945"/>
      <c r="PO12" s="945"/>
    </row>
    <row r="13" spans="1:431" s="165" customFormat="1">
      <c r="A13" s="945"/>
      <c r="B13" s="945"/>
      <c r="C13" s="948"/>
      <c r="D13" s="948"/>
      <c r="E13" s="951"/>
      <c r="F13" s="948"/>
      <c r="G13" s="171"/>
      <c r="H13" s="948"/>
      <c r="I13" s="948"/>
      <c r="J13" s="951"/>
      <c r="K13" s="951"/>
      <c r="L13" s="171"/>
      <c r="M13" s="945"/>
      <c r="N13" s="945"/>
      <c r="O13" s="945"/>
      <c r="P13" s="945"/>
      <c r="Q13" s="945"/>
      <c r="R13" s="945"/>
      <c r="S13" s="945"/>
      <c r="T13" s="945"/>
      <c r="U13" s="945"/>
      <c r="V13" s="945"/>
      <c r="W13" s="945"/>
      <c r="X13" s="945"/>
      <c r="Y13" s="945"/>
      <c r="Z13" s="945"/>
      <c r="AA13" s="945"/>
      <c r="AB13" s="945"/>
      <c r="AC13" s="945"/>
      <c r="AD13" s="945"/>
      <c r="AE13" s="945"/>
      <c r="AF13" s="945"/>
      <c r="AG13" s="945"/>
      <c r="AH13" s="945"/>
      <c r="AI13" s="945"/>
      <c r="AJ13" s="945"/>
      <c r="AK13" s="945"/>
      <c r="AL13" s="945"/>
      <c r="AM13" s="945"/>
      <c r="AN13" s="945"/>
      <c r="AO13" s="945"/>
      <c r="AP13" s="945"/>
      <c r="AQ13" s="945"/>
      <c r="AR13" s="945"/>
      <c r="AS13" s="945"/>
      <c r="AT13" s="945"/>
      <c r="AU13" s="945"/>
      <c r="AV13" s="945"/>
      <c r="AW13" s="945"/>
      <c r="AX13" s="945"/>
      <c r="AY13" s="945"/>
      <c r="AZ13" s="945"/>
      <c r="BA13" s="945"/>
      <c r="BB13" s="945"/>
      <c r="BC13" s="945"/>
      <c r="BD13" s="945"/>
      <c r="BE13" s="945"/>
      <c r="BF13" s="945"/>
      <c r="BG13" s="945"/>
      <c r="BH13" s="945"/>
      <c r="BI13" s="945"/>
      <c r="BJ13" s="945"/>
      <c r="BK13" s="945"/>
      <c r="BL13" s="945"/>
      <c r="BM13" s="945"/>
      <c r="BN13" s="945"/>
      <c r="BO13" s="945"/>
      <c r="BP13" s="945"/>
      <c r="BQ13" s="945"/>
      <c r="BR13" s="945"/>
      <c r="BS13" s="945"/>
      <c r="BT13" s="945"/>
      <c r="BU13" s="945"/>
      <c r="BV13" s="945"/>
      <c r="BW13" s="945"/>
      <c r="BX13" s="945"/>
      <c r="BY13" s="945"/>
      <c r="BZ13" s="945"/>
      <c r="CA13" s="945"/>
      <c r="CB13" s="945"/>
      <c r="CC13" s="945"/>
      <c r="CD13" s="945"/>
      <c r="CE13" s="945"/>
      <c r="CF13" s="945"/>
      <c r="CG13" s="945"/>
      <c r="CH13" s="945"/>
      <c r="CI13" s="945"/>
      <c r="CJ13" s="945"/>
      <c r="CK13" s="945"/>
      <c r="CL13" s="945"/>
      <c r="CM13" s="945"/>
      <c r="CN13" s="945"/>
      <c r="CO13" s="945"/>
      <c r="CP13" s="945"/>
      <c r="CQ13" s="945"/>
      <c r="CR13" s="945"/>
      <c r="CS13" s="945"/>
      <c r="CT13" s="945"/>
      <c r="CU13" s="945"/>
      <c r="CV13" s="945"/>
      <c r="CW13" s="945"/>
      <c r="CX13" s="945"/>
      <c r="CY13" s="945"/>
      <c r="CZ13" s="945"/>
      <c r="DA13" s="945"/>
      <c r="DB13" s="945"/>
      <c r="DC13" s="945"/>
      <c r="DD13" s="945"/>
      <c r="DE13" s="945"/>
      <c r="DF13" s="945"/>
      <c r="DG13" s="945"/>
      <c r="DH13" s="945"/>
      <c r="DI13" s="945"/>
      <c r="DJ13" s="945"/>
      <c r="DK13" s="945"/>
      <c r="DL13" s="945"/>
      <c r="DM13" s="945"/>
      <c r="DN13" s="945"/>
      <c r="DO13" s="945"/>
      <c r="DP13" s="945"/>
      <c r="DQ13" s="945"/>
      <c r="DR13" s="945"/>
      <c r="DS13" s="945"/>
      <c r="DT13" s="945"/>
      <c r="DU13" s="945"/>
      <c r="DV13" s="945"/>
      <c r="DW13" s="945"/>
      <c r="DX13" s="945"/>
      <c r="DY13" s="945"/>
      <c r="DZ13" s="945"/>
      <c r="EA13" s="945"/>
      <c r="EB13" s="945"/>
      <c r="EC13" s="945"/>
      <c r="ED13" s="945"/>
      <c r="EE13" s="945"/>
      <c r="EF13" s="945"/>
      <c r="EG13" s="945"/>
      <c r="EH13" s="945"/>
      <c r="EI13" s="945"/>
      <c r="EJ13" s="945"/>
      <c r="EK13" s="945"/>
      <c r="EL13" s="945"/>
      <c r="EM13" s="945"/>
      <c r="EN13" s="945"/>
      <c r="EO13" s="945"/>
      <c r="EP13" s="945"/>
      <c r="EQ13" s="945"/>
      <c r="ER13" s="945"/>
      <c r="ES13" s="945"/>
      <c r="ET13" s="945"/>
      <c r="EU13" s="945"/>
      <c r="EV13" s="945"/>
      <c r="EW13" s="945"/>
      <c r="EX13" s="945"/>
      <c r="EY13" s="945"/>
      <c r="EZ13" s="945"/>
      <c r="FA13" s="945"/>
      <c r="FB13" s="945"/>
      <c r="FC13" s="945"/>
      <c r="FD13" s="945"/>
      <c r="FE13" s="945"/>
      <c r="FF13" s="945"/>
      <c r="FG13" s="945"/>
      <c r="FH13" s="945"/>
      <c r="FI13" s="945"/>
      <c r="FJ13" s="945"/>
      <c r="FK13" s="945"/>
      <c r="FL13" s="945"/>
      <c r="FM13" s="945"/>
      <c r="FN13" s="945"/>
      <c r="FO13" s="945"/>
      <c r="FP13" s="945"/>
      <c r="FQ13" s="945"/>
      <c r="FR13" s="945"/>
      <c r="FS13" s="945"/>
      <c r="FT13" s="945"/>
      <c r="FU13" s="945"/>
      <c r="FV13" s="945"/>
      <c r="FW13" s="945"/>
      <c r="FX13" s="945"/>
      <c r="FY13" s="945"/>
      <c r="FZ13" s="945"/>
      <c r="GA13" s="945"/>
      <c r="GB13" s="945"/>
      <c r="GC13" s="945"/>
      <c r="GD13" s="945"/>
      <c r="GE13" s="945"/>
      <c r="GF13" s="945"/>
      <c r="GG13" s="945"/>
      <c r="GH13" s="945"/>
      <c r="GI13" s="945"/>
      <c r="GJ13" s="945"/>
      <c r="GK13" s="945"/>
      <c r="GL13" s="945"/>
      <c r="GM13" s="945"/>
      <c r="GN13" s="945"/>
      <c r="GO13" s="945"/>
      <c r="GP13" s="945"/>
      <c r="GQ13" s="945"/>
      <c r="GR13" s="945"/>
      <c r="GS13" s="945"/>
      <c r="GT13" s="945"/>
      <c r="GU13" s="945"/>
      <c r="GV13" s="945"/>
      <c r="GW13" s="945"/>
      <c r="GX13" s="945"/>
      <c r="GY13" s="945"/>
      <c r="GZ13" s="945"/>
      <c r="HA13" s="945"/>
      <c r="HB13" s="945"/>
      <c r="HC13" s="945"/>
      <c r="HD13" s="945"/>
      <c r="HE13" s="945"/>
      <c r="HF13" s="945"/>
      <c r="HG13" s="945"/>
      <c r="HH13" s="945"/>
      <c r="HI13" s="945"/>
      <c r="HJ13" s="945"/>
      <c r="HK13" s="945"/>
      <c r="HL13" s="945"/>
      <c r="HM13" s="945"/>
      <c r="HN13" s="945"/>
      <c r="HO13" s="945"/>
      <c r="HP13" s="945"/>
      <c r="HQ13" s="945"/>
      <c r="HR13" s="945"/>
      <c r="HS13" s="945"/>
      <c r="HT13" s="945"/>
      <c r="HU13" s="945"/>
      <c r="HV13" s="945"/>
      <c r="HW13" s="945"/>
      <c r="HX13" s="945"/>
      <c r="HY13" s="945"/>
      <c r="HZ13" s="945"/>
      <c r="IA13" s="945"/>
      <c r="IB13" s="945"/>
      <c r="IC13" s="945"/>
      <c r="ID13" s="945"/>
      <c r="IE13" s="945"/>
      <c r="IF13" s="945"/>
      <c r="IG13" s="945"/>
      <c r="IH13" s="945"/>
      <c r="II13" s="945"/>
      <c r="IJ13" s="945"/>
      <c r="IK13" s="945"/>
      <c r="IL13" s="945"/>
      <c r="IM13" s="945"/>
      <c r="IN13" s="945"/>
      <c r="IO13" s="945"/>
      <c r="IP13" s="945"/>
      <c r="IQ13" s="945"/>
      <c r="IR13" s="945"/>
      <c r="IS13" s="945"/>
      <c r="IT13" s="945"/>
      <c r="IU13" s="945"/>
      <c r="IV13" s="945"/>
      <c r="IW13" s="945"/>
      <c r="IX13" s="945"/>
      <c r="IY13" s="945"/>
      <c r="IZ13" s="945"/>
      <c r="JA13" s="945"/>
      <c r="JB13" s="945"/>
      <c r="JC13" s="945"/>
      <c r="JD13" s="945"/>
      <c r="JE13" s="945"/>
      <c r="JF13" s="945"/>
      <c r="JG13" s="945"/>
      <c r="JH13" s="945"/>
      <c r="JI13" s="945"/>
      <c r="JJ13" s="945"/>
      <c r="JK13" s="945"/>
      <c r="JL13" s="945"/>
      <c r="JM13" s="945"/>
      <c r="JN13" s="945"/>
      <c r="JO13" s="945"/>
      <c r="JP13" s="945"/>
      <c r="JQ13" s="945"/>
      <c r="JR13" s="945"/>
      <c r="JS13" s="945"/>
      <c r="JT13" s="945"/>
      <c r="JU13" s="945"/>
      <c r="JV13" s="945"/>
      <c r="JW13" s="945"/>
      <c r="JX13" s="945"/>
      <c r="JY13" s="945"/>
      <c r="JZ13" s="945"/>
      <c r="KA13" s="945"/>
      <c r="KB13" s="945"/>
      <c r="KC13" s="945"/>
      <c r="KD13" s="945"/>
      <c r="KE13" s="945"/>
      <c r="KF13" s="945"/>
      <c r="KG13" s="945"/>
      <c r="KH13" s="945"/>
      <c r="KI13" s="945"/>
      <c r="KJ13" s="945"/>
      <c r="KK13" s="945"/>
      <c r="KL13" s="945"/>
      <c r="KM13" s="945"/>
      <c r="KN13" s="945"/>
      <c r="KO13" s="945"/>
      <c r="KP13" s="945"/>
      <c r="KQ13" s="945"/>
      <c r="KR13" s="945"/>
      <c r="KS13" s="945"/>
      <c r="KT13" s="945"/>
      <c r="KU13" s="945"/>
      <c r="KV13" s="945"/>
      <c r="KW13" s="945"/>
      <c r="KX13" s="945"/>
      <c r="KY13" s="945"/>
      <c r="KZ13" s="945"/>
      <c r="LA13" s="945"/>
      <c r="LB13" s="945"/>
      <c r="LC13" s="945"/>
      <c r="LD13" s="945"/>
      <c r="LE13" s="945"/>
      <c r="LF13" s="945"/>
      <c r="LG13" s="945"/>
      <c r="LH13" s="945"/>
      <c r="LI13" s="945"/>
      <c r="LJ13" s="945"/>
      <c r="LK13" s="945"/>
      <c r="LL13" s="945"/>
      <c r="LM13" s="945"/>
      <c r="LN13" s="945"/>
      <c r="LO13" s="945"/>
      <c r="LP13" s="945"/>
      <c r="LQ13" s="945"/>
      <c r="LR13" s="945"/>
      <c r="LS13" s="945"/>
      <c r="LT13" s="945"/>
      <c r="LU13" s="945"/>
      <c r="LV13" s="945"/>
      <c r="LW13" s="945"/>
      <c r="LX13" s="945"/>
      <c r="LY13" s="945"/>
      <c r="LZ13" s="945"/>
      <c r="MA13" s="945"/>
      <c r="MB13" s="945"/>
      <c r="MC13" s="945"/>
      <c r="MD13" s="945"/>
      <c r="ME13" s="945"/>
      <c r="MF13" s="945"/>
      <c r="MG13" s="945"/>
      <c r="MH13" s="945"/>
      <c r="MI13" s="945"/>
      <c r="MJ13" s="945"/>
      <c r="MK13" s="945"/>
      <c r="ML13" s="945"/>
      <c r="MM13" s="945"/>
      <c r="MN13" s="945"/>
      <c r="MO13" s="945"/>
      <c r="MP13" s="945"/>
      <c r="MQ13" s="945"/>
      <c r="MR13" s="945"/>
      <c r="MS13" s="945"/>
      <c r="MT13" s="945"/>
      <c r="MU13" s="945"/>
      <c r="MV13" s="945"/>
      <c r="MW13" s="945"/>
      <c r="MX13" s="945"/>
      <c r="MY13" s="945"/>
      <c r="MZ13" s="945"/>
      <c r="NA13" s="945"/>
      <c r="NB13" s="945"/>
      <c r="NC13" s="945"/>
      <c r="ND13" s="945"/>
      <c r="NE13" s="945"/>
      <c r="NF13" s="945"/>
      <c r="NG13" s="945"/>
      <c r="NH13" s="945"/>
      <c r="NI13" s="945"/>
      <c r="NJ13" s="945"/>
      <c r="NK13" s="945"/>
      <c r="NL13" s="945"/>
      <c r="NM13" s="945"/>
      <c r="NN13" s="945"/>
      <c r="NO13" s="945"/>
      <c r="NP13" s="945"/>
      <c r="NQ13" s="945"/>
      <c r="NR13" s="945"/>
      <c r="NS13" s="945"/>
      <c r="NT13" s="945"/>
      <c r="NU13" s="945"/>
      <c r="NV13" s="945"/>
      <c r="NW13" s="945"/>
      <c r="NX13" s="945"/>
      <c r="NY13" s="945"/>
      <c r="NZ13" s="945"/>
      <c r="OA13" s="945"/>
      <c r="OB13" s="945"/>
      <c r="OC13" s="945"/>
      <c r="OD13" s="945"/>
      <c r="OE13" s="945"/>
      <c r="OF13" s="945"/>
      <c r="OG13" s="945"/>
      <c r="OH13" s="945"/>
      <c r="OI13" s="945"/>
      <c r="OJ13" s="945"/>
      <c r="OK13" s="945"/>
      <c r="OL13" s="945"/>
      <c r="OM13" s="945"/>
      <c r="ON13" s="945"/>
      <c r="OO13" s="945"/>
      <c r="OP13" s="945"/>
      <c r="OQ13" s="945"/>
      <c r="OR13" s="945"/>
      <c r="OS13" s="945"/>
      <c r="OT13" s="945"/>
      <c r="OU13" s="945"/>
      <c r="OV13" s="945"/>
      <c r="OW13" s="945"/>
      <c r="OX13" s="945"/>
      <c r="OY13" s="945"/>
      <c r="OZ13" s="945"/>
      <c r="PA13" s="945"/>
      <c r="PB13" s="945"/>
      <c r="PC13" s="945"/>
      <c r="PD13" s="945"/>
      <c r="PE13" s="945"/>
      <c r="PF13" s="945"/>
      <c r="PG13" s="945"/>
      <c r="PH13" s="945"/>
      <c r="PI13" s="945"/>
      <c r="PJ13" s="945"/>
      <c r="PK13" s="945"/>
      <c r="PL13" s="945"/>
      <c r="PM13" s="945"/>
      <c r="PN13" s="945"/>
      <c r="PO13" s="945"/>
    </row>
    <row r="14" spans="1:431" s="165" customFormat="1">
      <c r="A14" s="945"/>
      <c r="B14" s="945"/>
      <c r="C14" s="948"/>
      <c r="D14" s="948"/>
      <c r="E14" s="173"/>
      <c r="F14" s="171"/>
      <c r="G14" s="948"/>
      <c r="H14" s="948"/>
      <c r="I14" s="948"/>
      <c r="J14" s="173"/>
      <c r="K14" s="541"/>
      <c r="L14" s="948"/>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5"/>
      <c r="AY14" s="945"/>
      <c r="AZ14" s="945"/>
      <c r="BA14" s="945"/>
      <c r="BB14" s="945"/>
      <c r="BC14" s="945"/>
      <c r="BD14" s="945"/>
      <c r="BE14" s="945"/>
      <c r="BF14" s="945"/>
      <c r="BG14" s="945"/>
      <c r="BH14" s="945"/>
      <c r="BI14" s="945"/>
      <c r="BJ14" s="945"/>
      <c r="BK14" s="945"/>
      <c r="BL14" s="945"/>
      <c r="BM14" s="945"/>
      <c r="BN14" s="945"/>
      <c r="BO14" s="945"/>
      <c r="BP14" s="945"/>
      <c r="BQ14" s="945"/>
      <c r="BR14" s="945"/>
      <c r="BS14" s="945"/>
      <c r="BT14" s="945"/>
      <c r="BU14" s="945"/>
      <c r="BV14" s="945"/>
      <c r="BW14" s="945"/>
      <c r="BX14" s="945"/>
      <c r="BY14" s="945"/>
      <c r="BZ14" s="945"/>
      <c r="CA14" s="945"/>
      <c r="CB14" s="945"/>
      <c r="CC14" s="945"/>
      <c r="CD14" s="945"/>
      <c r="CE14" s="945"/>
      <c r="CF14" s="945"/>
      <c r="CG14" s="945"/>
      <c r="CH14" s="945"/>
      <c r="CI14" s="945"/>
      <c r="CJ14" s="945"/>
      <c r="CK14" s="945"/>
      <c r="CL14" s="945"/>
      <c r="CM14" s="945"/>
      <c r="CN14" s="945"/>
      <c r="CO14" s="945"/>
      <c r="CP14" s="945"/>
      <c r="CQ14" s="945"/>
      <c r="CR14" s="945"/>
      <c r="CS14" s="945"/>
      <c r="CT14" s="945"/>
      <c r="CU14" s="945"/>
      <c r="CV14" s="945"/>
      <c r="CW14" s="945"/>
      <c r="CX14" s="945"/>
      <c r="CY14" s="945"/>
      <c r="CZ14" s="945"/>
      <c r="DA14" s="945"/>
      <c r="DB14" s="945"/>
      <c r="DC14" s="945"/>
      <c r="DD14" s="945"/>
      <c r="DE14" s="945"/>
      <c r="DF14" s="945"/>
      <c r="DG14" s="945"/>
      <c r="DH14" s="945"/>
      <c r="DI14" s="945"/>
      <c r="DJ14" s="945"/>
      <c r="DK14" s="945"/>
      <c r="DL14" s="945"/>
      <c r="DM14" s="945"/>
      <c r="DN14" s="945"/>
      <c r="DO14" s="945"/>
      <c r="DP14" s="945"/>
      <c r="DQ14" s="945"/>
      <c r="DR14" s="945"/>
      <c r="DS14" s="945"/>
      <c r="DT14" s="945"/>
      <c r="DU14" s="945"/>
      <c r="DV14" s="945"/>
      <c r="DW14" s="945"/>
      <c r="DX14" s="945"/>
      <c r="DY14" s="945"/>
      <c r="DZ14" s="945"/>
      <c r="EA14" s="945"/>
      <c r="EB14" s="945"/>
      <c r="EC14" s="945"/>
      <c r="ED14" s="945"/>
      <c r="EE14" s="945"/>
      <c r="EF14" s="945"/>
      <c r="EG14" s="945"/>
      <c r="EH14" s="945"/>
      <c r="EI14" s="945"/>
      <c r="EJ14" s="945"/>
      <c r="EK14" s="945"/>
      <c r="EL14" s="945"/>
      <c r="EM14" s="945"/>
      <c r="EN14" s="945"/>
      <c r="EO14" s="945"/>
      <c r="EP14" s="945"/>
      <c r="EQ14" s="945"/>
      <c r="ER14" s="945"/>
      <c r="ES14" s="945"/>
      <c r="ET14" s="945"/>
      <c r="EU14" s="945"/>
      <c r="EV14" s="945"/>
      <c r="EW14" s="945"/>
      <c r="EX14" s="945"/>
      <c r="EY14" s="945"/>
      <c r="EZ14" s="945"/>
      <c r="FA14" s="945"/>
      <c r="FB14" s="945"/>
      <c r="FC14" s="945"/>
      <c r="FD14" s="945"/>
      <c r="FE14" s="945"/>
      <c r="FF14" s="945"/>
      <c r="FG14" s="945"/>
      <c r="FH14" s="945"/>
      <c r="FI14" s="945"/>
      <c r="FJ14" s="945"/>
      <c r="FK14" s="945"/>
      <c r="FL14" s="945"/>
      <c r="FM14" s="945"/>
      <c r="FN14" s="945"/>
      <c r="FO14" s="945"/>
      <c r="FP14" s="945"/>
      <c r="FQ14" s="945"/>
      <c r="FR14" s="945"/>
      <c r="FS14" s="945"/>
      <c r="FT14" s="945"/>
      <c r="FU14" s="945"/>
      <c r="FV14" s="945"/>
      <c r="FW14" s="945"/>
      <c r="FX14" s="945"/>
      <c r="FY14" s="945"/>
      <c r="FZ14" s="945"/>
      <c r="GA14" s="945"/>
      <c r="GB14" s="945"/>
      <c r="GC14" s="945"/>
      <c r="GD14" s="945"/>
      <c r="GE14" s="945"/>
      <c r="GF14" s="945"/>
      <c r="GG14" s="945"/>
      <c r="GH14" s="945"/>
      <c r="GI14" s="945"/>
      <c r="GJ14" s="945"/>
      <c r="GK14" s="945"/>
      <c r="GL14" s="945"/>
      <c r="GM14" s="945"/>
      <c r="GN14" s="945"/>
      <c r="GO14" s="945"/>
      <c r="GP14" s="945"/>
      <c r="GQ14" s="945"/>
      <c r="GR14" s="945"/>
      <c r="GS14" s="945"/>
      <c r="GT14" s="945"/>
      <c r="GU14" s="945"/>
      <c r="GV14" s="945"/>
      <c r="GW14" s="945"/>
      <c r="GX14" s="945"/>
      <c r="GY14" s="945"/>
      <c r="GZ14" s="945"/>
      <c r="HA14" s="945"/>
      <c r="HB14" s="945"/>
      <c r="HC14" s="945"/>
      <c r="HD14" s="945"/>
      <c r="HE14" s="945"/>
      <c r="HF14" s="945"/>
      <c r="HG14" s="945"/>
      <c r="HH14" s="945"/>
      <c r="HI14" s="945"/>
      <c r="HJ14" s="945"/>
      <c r="HK14" s="945"/>
      <c r="HL14" s="945"/>
      <c r="HM14" s="945"/>
      <c r="HN14" s="945"/>
      <c r="HO14" s="945"/>
      <c r="HP14" s="945"/>
      <c r="HQ14" s="945"/>
      <c r="HR14" s="945"/>
      <c r="HS14" s="945"/>
      <c r="HT14" s="945"/>
      <c r="HU14" s="945"/>
      <c r="HV14" s="945"/>
      <c r="HW14" s="945"/>
      <c r="HX14" s="945"/>
      <c r="HY14" s="945"/>
      <c r="HZ14" s="945"/>
      <c r="IA14" s="945"/>
      <c r="IB14" s="945"/>
      <c r="IC14" s="945"/>
      <c r="ID14" s="945"/>
      <c r="IE14" s="945"/>
      <c r="IF14" s="945"/>
      <c r="IG14" s="945"/>
      <c r="IH14" s="945"/>
      <c r="II14" s="945"/>
      <c r="IJ14" s="945"/>
      <c r="IK14" s="945"/>
      <c r="IL14" s="945"/>
      <c r="IM14" s="945"/>
      <c r="IN14" s="945"/>
      <c r="IO14" s="945"/>
      <c r="IP14" s="945"/>
      <c r="IQ14" s="945"/>
      <c r="IR14" s="945"/>
      <c r="IS14" s="945"/>
      <c r="IT14" s="945"/>
      <c r="IU14" s="945"/>
      <c r="IV14" s="945"/>
      <c r="IW14" s="945"/>
      <c r="IX14" s="945"/>
      <c r="IY14" s="945"/>
      <c r="IZ14" s="945"/>
      <c r="JA14" s="945"/>
      <c r="JB14" s="945"/>
      <c r="JC14" s="945"/>
      <c r="JD14" s="945"/>
      <c r="JE14" s="945"/>
      <c r="JF14" s="945"/>
      <c r="JG14" s="945"/>
      <c r="JH14" s="945"/>
      <c r="JI14" s="945"/>
      <c r="JJ14" s="945"/>
      <c r="JK14" s="945"/>
      <c r="JL14" s="945"/>
      <c r="JM14" s="945"/>
      <c r="JN14" s="945"/>
      <c r="JO14" s="945"/>
      <c r="JP14" s="945"/>
      <c r="JQ14" s="945"/>
      <c r="JR14" s="945"/>
      <c r="JS14" s="945"/>
      <c r="JT14" s="945"/>
      <c r="JU14" s="945"/>
      <c r="JV14" s="945"/>
      <c r="JW14" s="945"/>
      <c r="JX14" s="945"/>
      <c r="JY14" s="945"/>
      <c r="JZ14" s="945"/>
      <c r="KA14" s="945"/>
      <c r="KB14" s="945"/>
      <c r="KC14" s="945"/>
      <c r="KD14" s="945"/>
      <c r="KE14" s="945"/>
      <c r="KF14" s="945"/>
      <c r="KG14" s="945"/>
      <c r="KH14" s="945"/>
      <c r="KI14" s="945"/>
      <c r="KJ14" s="945"/>
      <c r="KK14" s="945"/>
      <c r="KL14" s="945"/>
      <c r="KM14" s="945"/>
      <c r="KN14" s="945"/>
      <c r="KO14" s="945"/>
      <c r="KP14" s="945"/>
      <c r="KQ14" s="945"/>
      <c r="KR14" s="945"/>
      <c r="KS14" s="945"/>
      <c r="KT14" s="945"/>
      <c r="KU14" s="945"/>
      <c r="KV14" s="945"/>
      <c r="KW14" s="945"/>
      <c r="KX14" s="945"/>
      <c r="KY14" s="945"/>
      <c r="KZ14" s="945"/>
      <c r="LA14" s="945"/>
      <c r="LB14" s="945"/>
      <c r="LC14" s="945"/>
      <c r="LD14" s="945"/>
      <c r="LE14" s="945"/>
      <c r="LF14" s="945"/>
      <c r="LG14" s="945"/>
      <c r="LH14" s="945"/>
      <c r="LI14" s="945"/>
      <c r="LJ14" s="945"/>
      <c r="LK14" s="945"/>
      <c r="LL14" s="945"/>
      <c r="LM14" s="945"/>
      <c r="LN14" s="945"/>
      <c r="LO14" s="945"/>
      <c r="LP14" s="945"/>
      <c r="LQ14" s="945"/>
      <c r="LR14" s="945"/>
      <c r="LS14" s="945"/>
      <c r="LT14" s="945"/>
      <c r="LU14" s="945"/>
      <c r="LV14" s="945"/>
      <c r="LW14" s="945"/>
      <c r="LX14" s="945"/>
      <c r="LY14" s="945"/>
      <c r="LZ14" s="945"/>
      <c r="MA14" s="945"/>
      <c r="MB14" s="945"/>
      <c r="MC14" s="945"/>
      <c r="MD14" s="945"/>
      <c r="ME14" s="945"/>
      <c r="MF14" s="945"/>
      <c r="MG14" s="945"/>
      <c r="MH14" s="945"/>
      <c r="MI14" s="945"/>
      <c r="MJ14" s="945"/>
      <c r="MK14" s="945"/>
      <c r="ML14" s="945"/>
      <c r="MM14" s="945"/>
      <c r="MN14" s="945"/>
      <c r="MO14" s="945"/>
      <c r="MP14" s="945"/>
      <c r="MQ14" s="945"/>
      <c r="MR14" s="945"/>
      <c r="MS14" s="945"/>
      <c r="MT14" s="945"/>
      <c r="MU14" s="945"/>
      <c r="MV14" s="945"/>
      <c r="MW14" s="945"/>
      <c r="MX14" s="945"/>
      <c r="MY14" s="945"/>
      <c r="MZ14" s="945"/>
      <c r="NA14" s="945"/>
      <c r="NB14" s="945"/>
      <c r="NC14" s="945"/>
      <c r="ND14" s="945"/>
      <c r="NE14" s="945"/>
      <c r="NF14" s="945"/>
      <c r="NG14" s="945"/>
      <c r="NH14" s="945"/>
      <c r="NI14" s="945"/>
      <c r="NJ14" s="945"/>
      <c r="NK14" s="945"/>
      <c r="NL14" s="945"/>
      <c r="NM14" s="945"/>
      <c r="NN14" s="945"/>
      <c r="NO14" s="945"/>
      <c r="NP14" s="945"/>
      <c r="NQ14" s="945"/>
      <c r="NR14" s="945"/>
      <c r="NS14" s="945"/>
      <c r="NT14" s="945"/>
      <c r="NU14" s="945"/>
      <c r="NV14" s="945"/>
      <c r="NW14" s="945"/>
      <c r="NX14" s="945"/>
      <c r="NY14" s="945"/>
      <c r="NZ14" s="945"/>
      <c r="OA14" s="945"/>
      <c r="OB14" s="945"/>
      <c r="OC14" s="945"/>
      <c r="OD14" s="945"/>
      <c r="OE14" s="945"/>
      <c r="OF14" s="945"/>
      <c r="OG14" s="945"/>
      <c r="OH14" s="945"/>
      <c r="OI14" s="945"/>
      <c r="OJ14" s="945"/>
      <c r="OK14" s="945"/>
      <c r="OL14" s="945"/>
      <c r="OM14" s="945"/>
      <c r="ON14" s="945"/>
      <c r="OO14" s="945"/>
      <c r="OP14" s="945"/>
      <c r="OQ14" s="945"/>
      <c r="OR14" s="945"/>
      <c r="OS14" s="945"/>
      <c r="OT14" s="945"/>
      <c r="OU14" s="945"/>
      <c r="OV14" s="945"/>
      <c r="OW14" s="945"/>
      <c r="OX14" s="945"/>
      <c r="OY14" s="945"/>
      <c r="OZ14" s="945"/>
      <c r="PA14" s="945"/>
      <c r="PB14" s="945"/>
      <c r="PC14" s="945"/>
      <c r="PD14" s="945"/>
      <c r="PE14" s="945"/>
      <c r="PF14" s="945"/>
      <c r="PG14" s="945"/>
      <c r="PH14" s="945"/>
      <c r="PI14" s="945"/>
      <c r="PJ14" s="945"/>
      <c r="PK14" s="945"/>
      <c r="PL14" s="945"/>
      <c r="PM14" s="945"/>
      <c r="PN14" s="945"/>
      <c r="PO14" s="945"/>
    </row>
    <row r="15" spans="1:431" s="165" customFormat="1">
      <c r="A15" s="945"/>
      <c r="B15" s="945"/>
      <c r="C15" s="948"/>
      <c r="D15" s="948"/>
      <c r="E15" s="948"/>
      <c r="F15" s="948"/>
      <c r="G15" s="948"/>
      <c r="H15" s="948"/>
      <c r="I15" s="948"/>
      <c r="J15" s="948"/>
      <c r="K15" s="948"/>
      <c r="L15" s="948"/>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5"/>
      <c r="AY15" s="945"/>
      <c r="AZ15" s="945"/>
      <c r="BA15" s="945"/>
      <c r="BB15" s="945"/>
      <c r="BC15" s="945"/>
      <c r="BD15" s="945"/>
      <c r="BE15" s="945"/>
      <c r="BF15" s="945"/>
      <c r="BG15" s="945"/>
      <c r="BH15" s="945"/>
      <c r="BI15" s="945"/>
      <c r="BJ15" s="945"/>
      <c r="BK15" s="945"/>
      <c r="BL15" s="945"/>
      <c r="BM15" s="945"/>
      <c r="BN15" s="945"/>
      <c r="BO15" s="945"/>
      <c r="BP15" s="945"/>
      <c r="BQ15" s="945"/>
      <c r="BR15" s="945"/>
      <c r="BS15" s="945"/>
      <c r="BT15" s="945"/>
      <c r="BU15" s="945"/>
      <c r="BV15" s="945"/>
      <c r="BW15" s="945"/>
      <c r="BX15" s="945"/>
      <c r="BY15" s="945"/>
      <c r="BZ15" s="945"/>
      <c r="CA15" s="945"/>
      <c r="CB15" s="945"/>
      <c r="CC15" s="945"/>
      <c r="CD15" s="945"/>
      <c r="CE15" s="945"/>
      <c r="CF15" s="945"/>
      <c r="CG15" s="945"/>
      <c r="CH15" s="945"/>
      <c r="CI15" s="945"/>
      <c r="CJ15" s="945"/>
      <c r="CK15" s="945"/>
      <c r="CL15" s="945"/>
      <c r="CM15" s="945"/>
      <c r="CN15" s="945"/>
      <c r="CO15" s="945"/>
      <c r="CP15" s="945"/>
      <c r="CQ15" s="945"/>
      <c r="CR15" s="945"/>
      <c r="CS15" s="945"/>
      <c r="CT15" s="945"/>
      <c r="CU15" s="945"/>
      <c r="CV15" s="945"/>
      <c r="CW15" s="945"/>
      <c r="CX15" s="945"/>
      <c r="CY15" s="945"/>
      <c r="CZ15" s="945"/>
      <c r="DA15" s="945"/>
      <c r="DB15" s="945"/>
      <c r="DC15" s="945"/>
      <c r="DD15" s="945"/>
      <c r="DE15" s="945"/>
      <c r="DF15" s="945"/>
      <c r="DG15" s="945"/>
      <c r="DH15" s="945"/>
      <c r="DI15" s="945"/>
      <c r="DJ15" s="945"/>
      <c r="DK15" s="945"/>
      <c r="DL15" s="945"/>
      <c r="DM15" s="945"/>
      <c r="DN15" s="945"/>
      <c r="DO15" s="945"/>
      <c r="DP15" s="945"/>
      <c r="DQ15" s="945"/>
      <c r="DR15" s="945"/>
      <c r="DS15" s="945"/>
      <c r="DT15" s="945"/>
      <c r="DU15" s="945"/>
      <c r="DV15" s="945"/>
      <c r="DW15" s="945"/>
      <c r="DX15" s="945"/>
      <c r="DY15" s="945"/>
      <c r="DZ15" s="945"/>
      <c r="EA15" s="945"/>
      <c r="EB15" s="945"/>
      <c r="EC15" s="945"/>
      <c r="ED15" s="945"/>
      <c r="EE15" s="945"/>
      <c r="EF15" s="945"/>
      <c r="EG15" s="945"/>
      <c r="EH15" s="945"/>
      <c r="EI15" s="945"/>
      <c r="EJ15" s="945"/>
      <c r="EK15" s="945"/>
      <c r="EL15" s="945"/>
      <c r="EM15" s="945"/>
      <c r="EN15" s="945"/>
      <c r="EO15" s="945"/>
      <c r="EP15" s="945"/>
      <c r="EQ15" s="945"/>
      <c r="ER15" s="945"/>
      <c r="ES15" s="945"/>
      <c r="ET15" s="945"/>
      <c r="EU15" s="945"/>
      <c r="EV15" s="945"/>
      <c r="EW15" s="945"/>
      <c r="EX15" s="945"/>
      <c r="EY15" s="945"/>
      <c r="EZ15" s="945"/>
      <c r="FA15" s="945"/>
      <c r="FB15" s="945"/>
      <c r="FC15" s="945"/>
      <c r="FD15" s="945"/>
      <c r="FE15" s="945"/>
      <c r="FF15" s="945"/>
      <c r="FG15" s="945"/>
      <c r="FH15" s="945"/>
      <c r="FI15" s="945"/>
      <c r="FJ15" s="945"/>
      <c r="FK15" s="945"/>
      <c r="FL15" s="945"/>
      <c r="FM15" s="945"/>
      <c r="FN15" s="945"/>
      <c r="FO15" s="945"/>
      <c r="FP15" s="945"/>
      <c r="FQ15" s="945"/>
      <c r="FR15" s="945"/>
      <c r="FS15" s="945"/>
      <c r="FT15" s="945"/>
      <c r="FU15" s="945"/>
      <c r="FV15" s="945"/>
      <c r="FW15" s="945"/>
      <c r="FX15" s="945"/>
      <c r="FY15" s="945"/>
      <c r="FZ15" s="945"/>
      <c r="GA15" s="945"/>
      <c r="GB15" s="945"/>
      <c r="GC15" s="945"/>
      <c r="GD15" s="945"/>
      <c r="GE15" s="945"/>
      <c r="GF15" s="945"/>
      <c r="GG15" s="945"/>
      <c r="GH15" s="945"/>
      <c r="GI15" s="945"/>
      <c r="GJ15" s="945"/>
      <c r="GK15" s="945"/>
      <c r="GL15" s="945"/>
      <c r="GM15" s="945"/>
      <c r="GN15" s="945"/>
      <c r="GO15" s="945"/>
      <c r="GP15" s="945"/>
      <c r="GQ15" s="945"/>
      <c r="GR15" s="945"/>
      <c r="GS15" s="945"/>
      <c r="GT15" s="945"/>
      <c r="GU15" s="945"/>
      <c r="GV15" s="945"/>
      <c r="GW15" s="945"/>
      <c r="GX15" s="945"/>
      <c r="GY15" s="945"/>
      <c r="GZ15" s="945"/>
      <c r="HA15" s="945"/>
      <c r="HB15" s="945"/>
      <c r="HC15" s="945"/>
      <c r="HD15" s="945"/>
      <c r="HE15" s="945"/>
      <c r="HF15" s="945"/>
      <c r="HG15" s="945"/>
      <c r="HH15" s="945"/>
      <c r="HI15" s="945"/>
      <c r="HJ15" s="945"/>
      <c r="HK15" s="945"/>
      <c r="HL15" s="945"/>
      <c r="HM15" s="945"/>
      <c r="HN15" s="945"/>
      <c r="HO15" s="945"/>
      <c r="HP15" s="945"/>
      <c r="HQ15" s="945"/>
      <c r="HR15" s="945"/>
      <c r="HS15" s="945"/>
      <c r="HT15" s="945"/>
      <c r="HU15" s="945"/>
      <c r="HV15" s="945"/>
      <c r="HW15" s="945"/>
      <c r="HX15" s="945"/>
      <c r="HY15" s="945"/>
      <c r="HZ15" s="945"/>
      <c r="IA15" s="945"/>
      <c r="IB15" s="945"/>
      <c r="IC15" s="945"/>
      <c r="ID15" s="945"/>
      <c r="IE15" s="945"/>
      <c r="IF15" s="945"/>
      <c r="IG15" s="945"/>
      <c r="IH15" s="945"/>
      <c r="II15" s="945"/>
      <c r="IJ15" s="945"/>
      <c r="IK15" s="945"/>
      <c r="IL15" s="945"/>
      <c r="IM15" s="945"/>
      <c r="IN15" s="945"/>
      <c r="IO15" s="945"/>
      <c r="IP15" s="945"/>
      <c r="IQ15" s="945"/>
      <c r="IR15" s="945"/>
      <c r="IS15" s="945"/>
      <c r="IT15" s="945"/>
      <c r="IU15" s="945"/>
      <c r="IV15" s="945"/>
      <c r="IW15" s="945"/>
      <c r="IX15" s="945"/>
      <c r="IY15" s="945"/>
      <c r="IZ15" s="945"/>
      <c r="JA15" s="945"/>
      <c r="JB15" s="945"/>
      <c r="JC15" s="945"/>
      <c r="JD15" s="945"/>
      <c r="JE15" s="945"/>
      <c r="JF15" s="945"/>
      <c r="JG15" s="945"/>
      <c r="JH15" s="945"/>
      <c r="JI15" s="945"/>
      <c r="JJ15" s="945"/>
      <c r="JK15" s="945"/>
      <c r="JL15" s="945"/>
      <c r="JM15" s="945"/>
      <c r="JN15" s="945"/>
      <c r="JO15" s="945"/>
      <c r="JP15" s="945"/>
      <c r="JQ15" s="945"/>
      <c r="JR15" s="945"/>
      <c r="JS15" s="945"/>
      <c r="JT15" s="945"/>
      <c r="JU15" s="945"/>
      <c r="JV15" s="945"/>
      <c r="JW15" s="945"/>
      <c r="JX15" s="945"/>
      <c r="JY15" s="945"/>
      <c r="JZ15" s="945"/>
      <c r="KA15" s="945"/>
      <c r="KB15" s="945"/>
      <c r="KC15" s="945"/>
      <c r="KD15" s="945"/>
      <c r="KE15" s="945"/>
      <c r="KF15" s="945"/>
      <c r="KG15" s="945"/>
      <c r="KH15" s="945"/>
      <c r="KI15" s="945"/>
      <c r="KJ15" s="945"/>
      <c r="KK15" s="945"/>
      <c r="KL15" s="945"/>
      <c r="KM15" s="945"/>
      <c r="KN15" s="945"/>
      <c r="KO15" s="945"/>
      <c r="KP15" s="945"/>
      <c r="KQ15" s="945"/>
      <c r="KR15" s="945"/>
      <c r="KS15" s="945"/>
      <c r="KT15" s="945"/>
      <c r="KU15" s="945"/>
      <c r="KV15" s="945"/>
      <c r="KW15" s="945"/>
      <c r="KX15" s="945"/>
      <c r="KY15" s="945"/>
      <c r="KZ15" s="945"/>
      <c r="LA15" s="945"/>
      <c r="LB15" s="945"/>
      <c r="LC15" s="945"/>
      <c r="LD15" s="945"/>
      <c r="LE15" s="945"/>
      <c r="LF15" s="945"/>
      <c r="LG15" s="945"/>
      <c r="LH15" s="945"/>
      <c r="LI15" s="945"/>
      <c r="LJ15" s="945"/>
      <c r="LK15" s="945"/>
      <c r="LL15" s="945"/>
      <c r="LM15" s="945"/>
      <c r="LN15" s="945"/>
      <c r="LO15" s="945"/>
      <c r="LP15" s="945"/>
      <c r="LQ15" s="945"/>
      <c r="LR15" s="945"/>
      <c r="LS15" s="945"/>
      <c r="LT15" s="945"/>
      <c r="LU15" s="945"/>
      <c r="LV15" s="945"/>
      <c r="LW15" s="945"/>
      <c r="LX15" s="945"/>
      <c r="LY15" s="945"/>
      <c r="LZ15" s="945"/>
      <c r="MA15" s="945"/>
      <c r="MB15" s="945"/>
      <c r="MC15" s="945"/>
      <c r="MD15" s="945"/>
      <c r="ME15" s="945"/>
      <c r="MF15" s="945"/>
      <c r="MG15" s="945"/>
      <c r="MH15" s="945"/>
      <c r="MI15" s="945"/>
      <c r="MJ15" s="945"/>
      <c r="MK15" s="945"/>
      <c r="ML15" s="945"/>
      <c r="MM15" s="945"/>
      <c r="MN15" s="945"/>
      <c r="MO15" s="945"/>
      <c r="MP15" s="945"/>
      <c r="MQ15" s="945"/>
      <c r="MR15" s="945"/>
      <c r="MS15" s="945"/>
      <c r="MT15" s="945"/>
      <c r="MU15" s="945"/>
      <c r="MV15" s="945"/>
      <c r="MW15" s="945"/>
      <c r="MX15" s="945"/>
      <c r="MY15" s="945"/>
      <c r="MZ15" s="945"/>
      <c r="NA15" s="945"/>
      <c r="NB15" s="945"/>
      <c r="NC15" s="945"/>
      <c r="ND15" s="945"/>
      <c r="NE15" s="945"/>
      <c r="NF15" s="945"/>
      <c r="NG15" s="945"/>
      <c r="NH15" s="945"/>
      <c r="NI15" s="945"/>
      <c r="NJ15" s="945"/>
      <c r="NK15" s="945"/>
      <c r="NL15" s="945"/>
      <c r="NM15" s="945"/>
      <c r="NN15" s="945"/>
      <c r="NO15" s="945"/>
      <c r="NP15" s="945"/>
      <c r="NQ15" s="945"/>
      <c r="NR15" s="945"/>
      <c r="NS15" s="945"/>
      <c r="NT15" s="945"/>
      <c r="NU15" s="945"/>
      <c r="NV15" s="945"/>
      <c r="NW15" s="945"/>
      <c r="NX15" s="945"/>
      <c r="NY15" s="945"/>
      <c r="NZ15" s="945"/>
      <c r="OA15" s="945"/>
      <c r="OB15" s="945"/>
      <c r="OC15" s="945"/>
      <c r="OD15" s="945"/>
      <c r="OE15" s="945"/>
      <c r="OF15" s="945"/>
      <c r="OG15" s="945"/>
      <c r="OH15" s="945"/>
      <c r="OI15" s="945"/>
      <c r="OJ15" s="945"/>
      <c r="OK15" s="945"/>
      <c r="OL15" s="945"/>
      <c r="OM15" s="945"/>
      <c r="ON15" s="945"/>
      <c r="OO15" s="945"/>
      <c r="OP15" s="945"/>
      <c r="OQ15" s="945"/>
      <c r="OR15" s="945"/>
      <c r="OS15" s="945"/>
      <c r="OT15" s="945"/>
      <c r="OU15" s="945"/>
      <c r="OV15" s="945"/>
      <c r="OW15" s="945"/>
      <c r="OX15" s="945"/>
      <c r="OY15" s="945"/>
      <c r="OZ15" s="945"/>
      <c r="PA15" s="945"/>
      <c r="PB15" s="945"/>
      <c r="PC15" s="945"/>
      <c r="PD15" s="945"/>
      <c r="PE15" s="945"/>
      <c r="PF15" s="945"/>
      <c r="PG15" s="945"/>
      <c r="PH15" s="945"/>
      <c r="PI15" s="945"/>
      <c r="PJ15" s="945"/>
      <c r="PK15" s="945"/>
      <c r="PL15" s="945"/>
      <c r="PM15" s="945"/>
      <c r="PN15" s="945"/>
      <c r="PO15" s="945"/>
    </row>
    <row r="16" spans="1:431" s="165" customFormat="1">
      <c r="A16" s="945"/>
      <c r="B16" s="945"/>
      <c r="C16" s="948"/>
      <c r="D16" s="948"/>
      <c r="E16" s="948"/>
      <c r="F16" s="948"/>
      <c r="G16" s="948"/>
      <c r="H16" s="948"/>
      <c r="I16" s="948"/>
      <c r="J16" s="948"/>
      <c r="K16" s="948"/>
      <c r="L16" s="948"/>
      <c r="M16" s="945"/>
      <c r="N16" s="945"/>
      <c r="O16" s="945"/>
      <c r="P16" s="945"/>
      <c r="Q16" s="945"/>
      <c r="R16" s="945"/>
      <c r="S16" s="945"/>
      <c r="T16" s="945"/>
      <c r="U16" s="945"/>
      <c r="V16" s="945"/>
      <c r="W16" s="945"/>
      <c r="X16" s="945"/>
      <c r="Y16" s="945"/>
      <c r="Z16" s="945"/>
      <c r="AA16" s="945"/>
      <c r="AB16" s="945"/>
      <c r="AC16" s="945"/>
      <c r="AD16" s="945"/>
      <c r="AE16" s="945"/>
      <c r="AF16" s="945"/>
      <c r="AG16" s="945"/>
      <c r="AH16" s="945"/>
      <c r="AI16" s="945"/>
      <c r="AJ16" s="945"/>
      <c r="AK16" s="945"/>
      <c r="AL16" s="945"/>
      <c r="AM16" s="945"/>
      <c r="AN16" s="945"/>
      <c r="AO16" s="945"/>
      <c r="AP16" s="945"/>
      <c r="AQ16" s="945"/>
      <c r="AR16" s="945"/>
      <c r="AS16" s="945"/>
      <c r="AT16" s="945"/>
      <c r="AU16" s="945"/>
      <c r="AV16" s="945"/>
      <c r="AW16" s="945"/>
      <c r="AX16" s="945"/>
      <c r="AY16" s="945"/>
      <c r="AZ16" s="945"/>
      <c r="BA16" s="945"/>
      <c r="BB16" s="945"/>
      <c r="BC16" s="945"/>
      <c r="BD16" s="945"/>
      <c r="BE16" s="945"/>
      <c r="BF16" s="945"/>
      <c r="BG16" s="945"/>
      <c r="BH16" s="945"/>
      <c r="BI16" s="945"/>
      <c r="BJ16" s="945"/>
      <c r="BK16" s="945"/>
      <c r="BL16" s="945"/>
      <c r="BM16" s="945"/>
      <c r="BN16" s="945"/>
      <c r="BO16" s="945"/>
      <c r="BP16" s="945"/>
      <c r="BQ16" s="945"/>
      <c r="BR16" s="945"/>
      <c r="BS16" s="945"/>
      <c r="BT16" s="945"/>
      <c r="BU16" s="945"/>
      <c r="BV16" s="945"/>
      <c r="BW16" s="945"/>
      <c r="BX16" s="945"/>
      <c r="BY16" s="945"/>
      <c r="BZ16" s="945"/>
      <c r="CA16" s="945"/>
      <c r="CB16" s="945"/>
      <c r="CC16" s="945"/>
      <c r="CD16" s="945"/>
      <c r="CE16" s="945"/>
      <c r="CF16" s="945"/>
      <c r="CG16" s="945"/>
      <c r="CH16" s="945"/>
      <c r="CI16" s="945"/>
      <c r="CJ16" s="945"/>
      <c r="CK16" s="945"/>
      <c r="CL16" s="945"/>
      <c r="CM16" s="945"/>
      <c r="CN16" s="945"/>
      <c r="CO16" s="945"/>
      <c r="CP16" s="945"/>
      <c r="CQ16" s="945"/>
      <c r="CR16" s="945"/>
      <c r="CS16" s="945"/>
      <c r="CT16" s="945"/>
      <c r="CU16" s="945"/>
      <c r="CV16" s="945"/>
      <c r="CW16" s="945"/>
      <c r="CX16" s="945"/>
      <c r="CY16" s="945"/>
      <c r="CZ16" s="945"/>
      <c r="DA16" s="945"/>
      <c r="DB16" s="945"/>
      <c r="DC16" s="945"/>
      <c r="DD16" s="945"/>
      <c r="DE16" s="945"/>
      <c r="DF16" s="945"/>
      <c r="DG16" s="945"/>
      <c r="DH16" s="945"/>
      <c r="DI16" s="945"/>
      <c r="DJ16" s="945"/>
      <c r="DK16" s="945"/>
      <c r="DL16" s="945"/>
      <c r="DM16" s="945"/>
      <c r="DN16" s="945"/>
      <c r="DO16" s="945"/>
      <c r="DP16" s="945"/>
      <c r="DQ16" s="945"/>
      <c r="DR16" s="945"/>
      <c r="DS16" s="945"/>
      <c r="DT16" s="945"/>
      <c r="DU16" s="945"/>
      <c r="DV16" s="945"/>
      <c r="DW16" s="945"/>
      <c r="DX16" s="945"/>
      <c r="DY16" s="945"/>
      <c r="DZ16" s="945"/>
      <c r="EA16" s="945"/>
      <c r="EB16" s="945"/>
      <c r="EC16" s="945"/>
      <c r="ED16" s="945"/>
      <c r="EE16" s="945"/>
      <c r="EF16" s="945"/>
      <c r="EG16" s="945"/>
      <c r="EH16" s="945"/>
      <c r="EI16" s="945"/>
      <c r="EJ16" s="945"/>
      <c r="EK16" s="945"/>
      <c r="EL16" s="945"/>
      <c r="EM16" s="945"/>
      <c r="EN16" s="945"/>
      <c r="EO16" s="945"/>
      <c r="EP16" s="945"/>
      <c r="EQ16" s="945"/>
      <c r="ER16" s="945"/>
      <c r="ES16" s="945"/>
      <c r="ET16" s="945"/>
      <c r="EU16" s="945"/>
      <c r="EV16" s="945"/>
      <c r="EW16" s="945"/>
      <c r="EX16" s="945"/>
      <c r="EY16" s="945"/>
      <c r="EZ16" s="945"/>
      <c r="FA16" s="945"/>
      <c r="FB16" s="945"/>
      <c r="FC16" s="945"/>
      <c r="FD16" s="945"/>
      <c r="FE16" s="945"/>
      <c r="FF16" s="945"/>
      <c r="FG16" s="945"/>
      <c r="FH16" s="945"/>
      <c r="FI16" s="945"/>
      <c r="FJ16" s="945"/>
      <c r="FK16" s="945"/>
      <c r="FL16" s="945"/>
      <c r="FM16" s="945"/>
      <c r="FN16" s="945"/>
      <c r="FO16" s="945"/>
      <c r="FP16" s="945"/>
      <c r="FQ16" s="945"/>
      <c r="FR16" s="945"/>
      <c r="FS16" s="945"/>
      <c r="FT16" s="945"/>
      <c r="FU16" s="945"/>
      <c r="FV16" s="945"/>
      <c r="FW16" s="945"/>
      <c r="FX16" s="945"/>
      <c r="FY16" s="945"/>
      <c r="FZ16" s="945"/>
      <c r="GA16" s="945"/>
      <c r="GB16" s="945"/>
      <c r="GC16" s="945"/>
      <c r="GD16" s="945"/>
      <c r="GE16" s="945"/>
      <c r="GF16" s="945"/>
      <c r="GG16" s="945"/>
      <c r="GH16" s="945"/>
      <c r="GI16" s="945"/>
      <c r="GJ16" s="945"/>
      <c r="GK16" s="945"/>
      <c r="GL16" s="945"/>
      <c r="GM16" s="945"/>
      <c r="GN16" s="945"/>
      <c r="GO16" s="945"/>
      <c r="GP16" s="945"/>
      <c r="GQ16" s="945"/>
      <c r="GR16" s="945"/>
      <c r="GS16" s="945"/>
      <c r="GT16" s="945"/>
      <c r="GU16" s="945"/>
      <c r="GV16" s="945"/>
      <c r="GW16" s="945"/>
      <c r="GX16" s="945"/>
      <c r="GY16" s="945"/>
      <c r="GZ16" s="945"/>
      <c r="HA16" s="945"/>
      <c r="HB16" s="945"/>
      <c r="HC16" s="945"/>
      <c r="HD16" s="945"/>
      <c r="HE16" s="945"/>
      <c r="HF16" s="945"/>
      <c r="HG16" s="945"/>
      <c r="HH16" s="945"/>
      <c r="HI16" s="945"/>
      <c r="HJ16" s="945"/>
      <c r="HK16" s="945"/>
      <c r="HL16" s="945"/>
      <c r="HM16" s="945"/>
      <c r="HN16" s="945"/>
      <c r="HO16" s="945"/>
      <c r="HP16" s="945"/>
      <c r="HQ16" s="945"/>
      <c r="HR16" s="945"/>
      <c r="HS16" s="945"/>
      <c r="HT16" s="945"/>
      <c r="HU16" s="945"/>
      <c r="HV16" s="945"/>
      <c r="HW16" s="945"/>
      <c r="HX16" s="945"/>
      <c r="HY16" s="945"/>
      <c r="HZ16" s="945"/>
      <c r="IA16" s="945"/>
      <c r="IB16" s="945"/>
      <c r="IC16" s="945"/>
      <c r="ID16" s="945"/>
      <c r="IE16" s="945"/>
      <c r="IF16" s="945"/>
      <c r="IG16" s="945"/>
      <c r="IH16" s="945"/>
      <c r="II16" s="945"/>
      <c r="IJ16" s="945"/>
      <c r="IK16" s="945"/>
      <c r="IL16" s="945"/>
      <c r="IM16" s="945"/>
      <c r="IN16" s="945"/>
      <c r="IO16" s="945"/>
      <c r="IP16" s="945"/>
      <c r="IQ16" s="945"/>
      <c r="IR16" s="945"/>
      <c r="IS16" s="945"/>
      <c r="IT16" s="945"/>
      <c r="IU16" s="945"/>
      <c r="IV16" s="945"/>
      <c r="IW16" s="945"/>
      <c r="IX16" s="945"/>
      <c r="IY16" s="945"/>
      <c r="IZ16" s="945"/>
      <c r="JA16" s="945"/>
      <c r="JB16" s="945"/>
      <c r="JC16" s="945"/>
      <c r="JD16" s="945"/>
      <c r="JE16" s="945"/>
      <c r="JF16" s="945"/>
      <c r="JG16" s="945"/>
      <c r="JH16" s="945"/>
      <c r="JI16" s="945"/>
      <c r="JJ16" s="945"/>
      <c r="JK16" s="945"/>
      <c r="JL16" s="945"/>
      <c r="JM16" s="945"/>
      <c r="JN16" s="945"/>
      <c r="JO16" s="945"/>
      <c r="JP16" s="945"/>
      <c r="JQ16" s="945"/>
      <c r="JR16" s="945"/>
      <c r="JS16" s="945"/>
      <c r="JT16" s="945"/>
      <c r="JU16" s="945"/>
      <c r="JV16" s="945"/>
      <c r="JW16" s="945"/>
      <c r="JX16" s="945"/>
      <c r="JY16" s="945"/>
      <c r="JZ16" s="945"/>
      <c r="KA16" s="945"/>
      <c r="KB16" s="945"/>
      <c r="KC16" s="945"/>
      <c r="KD16" s="945"/>
      <c r="KE16" s="945"/>
      <c r="KF16" s="945"/>
      <c r="KG16" s="945"/>
      <c r="KH16" s="945"/>
      <c r="KI16" s="945"/>
      <c r="KJ16" s="945"/>
      <c r="KK16" s="945"/>
      <c r="KL16" s="945"/>
      <c r="KM16" s="945"/>
      <c r="KN16" s="945"/>
      <c r="KO16" s="945"/>
      <c r="KP16" s="945"/>
      <c r="KQ16" s="945"/>
      <c r="KR16" s="945"/>
      <c r="KS16" s="945"/>
      <c r="KT16" s="945"/>
      <c r="KU16" s="945"/>
      <c r="KV16" s="945"/>
      <c r="KW16" s="945"/>
      <c r="KX16" s="945"/>
      <c r="KY16" s="945"/>
      <c r="KZ16" s="945"/>
      <c r="LA16" s="945"/>
      <c r="LB16" s="945"/>
      <c r="LC16" s="945"/>
      <c r="LD16" s="945"/>
      <c r="LE16" s="945"/>
      <c r="LF16" s="945"/>
      <c r="LG16" s="945"/>
      <c r="LH16" s="945"/>
      <c r="LI16" s="945"/>
      <c r="LJ16" s="945"/>
      <c r="LK16" s="945"/>
      <c r="LL16" s="945"/>
      <c r="LM16" s="945"/>
      <c r="LN16" s="945"/>
      <c r="LO16" s="945"/>
      <c r="LP16" s="945"/>
      <c r="LQ16" s="945"/>
      <c r="LR16" s="945"/>
      <c r="LS16" s="945"/>
      <c r="LT16" s="945"/>
      <c r="LU16" s="945"/>
      <c r="LV16" s="945"/>
      <c r="LW16" s="945"/>
      <c r="LX16" s="945"/>
      <c r="LY16" s="945"/>
      <c r="LZ16" s="945"/>
      <c r="MA16" s="945"/>
      <c r="MB16" s="945"/>
      <c r="MC16" s="945"/>
      <c r="MD16" s="945"/>
      <c r="ME16" s="945"/>
      <c r="MF16" s="945"/>
      <c r="MG16" s="945"/>
      <c r="MH16" s="945"/>
      <c r="MI16" s="945"/>
      <c r="MJ16" s="945"/>
      <c r="MK16" s="945"/>
      <c r="ML16" s="945"/>
      <c r="MM16" s="945"/>
      <c r="MN16" s="945"/>
      <c r="MO16" s="945"/>
      <c r="MP16" s="945"/>
      <c r="MQ16" s="945"/>
      <c r="MR16" s="945"/>
      <c r="MS16" s="945"/>
      <c r="MT16" s="945"/>
      <c r="MU16" s="945"/>
      <c r="MV16" s="945"/>
      <c r="MW16" s="945"/>
      <c r="MX16" s="945"/>
      <c r="MY16" s="945"/>
      <c r="MZ16" s="945"/>
      <c r="NA16" s="945"/>
      <c r="NB16" s="945"/>
      <c r="NC16" s="945"/>
      <c r="ND16" s="945"/>
      <c r="NE16" s="945"/>
      <c r="NF16" s="945"/>
      <c r="NG16" s="945"/>
      <c r="NH16" s="945"/>
      <c r="NI16" s="945"/>
      <c r="NJ16" s="945"/>
      <c r="NK16" s="945"/>
      <c r="NL16" s="945"/>
      <c r="NM16" s="945"/>
      <c r="NN16" s="945"/>
      <c r="NO16" s="945"/>
      <c r="NP16" s="945"/>
      <c r="NQ16" s="945"/>
      <c r="NR16" s="945"/>
      <c r="NS16" s="945"/>
      <c r="NT16" s="945"/>
      <c r="NU16" s="945"/>
      <c r="NV16" s="945"/>
      <c r="NW16" s="945"/>
      <c r="NX16" s="945"/>
      <c r="NY16" s="945"/>
      <c r="NZ16" s="945"/>
      <c r="OA16" s="945"/>
      <c r="OB16" s="945"/>
      <c r="OC16" s="945"/>
      <c r="OD16" s="945"/>
      <c r="OE16" s="945"/>
      <c r="OF16" s="945"/>
      <c r="OG16" s="945"/>
      <c r="OH16" s="945"/>
      <c r="OI16" s="945"/>
      <c r="OJ16" s="945"/>
      <c r="OK16" s="945"/>
      <c r="OL16" s="945"/>
      <c r="OM16" s="945"/>
      <c r="ON16" s="945"/>
      <c r="OO16" s="945"/>
      <c r="OP16" s="945"/>
      <c r="OQ16" s="945"/>
      <c r="OR16" s="945"/>
      <c r="OS16" s="945"/>
      <c r="OT16" s="945"/>
      <c r="OU16" s="945"/>
      <c r="OV16" s="945"/>
      <c r="OW16" s="945"/>
      <c r="OX16" s="945"/>
      <c r="OY16" s="945"/>
      <c r="OZ16" s="945"/>
      <c r="PA16" s="945"/>
      <c r="PB16" s="945"/>
      <c r="PC16" s="945"/>
      <c r="PD16" s="945"/>
      <c r="PE16" s="945"/>
      <c r="PF16" s="945"/>
      <c r="PG16" s="945"/>
      <c r="PH16" s="945"/>
      <c r="PI16" s="945"/>
      <c r="PJ16" s="945"/>
      <c r="PK16" s="945"/>
      <c r="PL16" s="945"/>
      <c r="PM16" s="945"/>
      <c r="PN16" s="945"/>
      <c r="PO16" s="945"/>
    </row>
    <row r="17" spans="1:431" s="165" customFormat="1">
      <c r="A17" s="945"/>
      <c r="B17" s="945"/>
      <c r="C17" s="948"/>
      <c r="D17" s="948"/>
      <c r="E17" s="948"/>
      <c r="F17" s="948"/>
      <c r="G17" s="948"/>
      <c r="H17" s="948"/>
      <c r="I17" s="948"/>
      <c r="J17" s="948"/>
      <c r="K17" s="948"/>
      <c r="L17" s="948"/>
      <c r="M17" s="945"/>
      <c r="N17" s="945"/>
      <c r="O17" s="945"/>
      <c r="P17" s="945"/>
      <c r="Q17" s="945"/>
      <c r="R17" s="945"/>
      <c r="S17" s="945"/>
      <c r="T17" s="945"/>
      <c r="U17" s="945"/>
      <c r="V17" s="945"/>
      <c r="W17" s="945"/>
      <c r="X17" s="945"/>
      <c r="Y17" s="945"/>
      <c r="Z17" s="945"/>
      <c r="AA17" s="945"/>
      <c r="AB17" s="945"/>
      <c r="AC17" s="945"/>
      <c r="AD17" s="945"/>
      <c r="AE17" s="945"/>
      <c r="AF17" s="945"/>
      <c r="AG17" s="945"/>
      <c r="AH17" s="945"/>
      <c r="AI17" s="945"/>
      <c r="AJ17" s="945"/>
      <c r="AK17" s="945"/>
      <c r="AL17" s="945"/>
      <c r="AM17" s="945"/>
      <c r="AN17" s="945"/>
      <c r="AO17" s="945"/>
      <c r="AP17" s="945"/>
      <c r="AQ17" s="945"/>
      <c r="AR17" s="945"/>
      <c r="AS17" s="945"/>
      <c r="AT17" s="945"/>
      <c r="AU17" s="945"/>
      <c r="AV17" s="945"/>
      <c r="AW17" s="945"/>
      <c r="AX17" s="945"/>
      <c r="AY17" s="945"/>
      <c r="AZ17" s="945"/>
      <c r="BA17" s="945"/>
      <c r="BB17" s="945"/>
      <c r="BC17" s="945"/>
      <c r="BD17" s="945"/>
      <c r="BE17" s="945"/>
      <c r="BF17" s="945"/>
      <c r="BG17" s="945"/>
      <c r="BH17" s="945"/>
      <c r="BI17" s="945"/>
      <c r="BJ17" s="945"/>
      <c r="BK17" s="945"/>
      <c r="BL17" s="945"/>
      <c r="BM17" s="945"/>
      <c r="BN17" s="945"/>
      <c r="BO17" s="945"/>
      <c r="BP17" s="945"/>
      <c r="BQ17" s="945"/>
      <c r="BR17" s="945"/>
      <c r="BS17" s="945"/>
      <c r="BT17" s="945"/>
      <c r="BU17" s="945"/>
      <c r="BV17" s="945"/>
      <c r="BW17" s="945"/>
      <c r="BX17" s="945"/>
      <c r="BY17" s="945"/>
      <c r="BZ17" s="945"/>
      <c r="CA17" s="945"/>
      <c r="CB17" s="945"/>
      <c r="CC17" s="945"/>
      <c r="CD17" s="945"/>
      <c r="CE17" s="945"/>
      <c r="CF17" s="945"/>
      <c r="CG17" s="945"/>
      <c r="CH17" s="945"/>
      <c r="CI17" s="945"/>
      <c r="CJ17" s="945"/>
      <c r="CK17" s="945"/>
      <c r="CL17" s="945"/>
      <c r="CM17" s="945"/>
      <c r="CN17" s="945"/>
      <c r="CO17" s="945"/>
      <c r="CP17" s="945"/>
      <c r="CQ17" s="945"/>
      <c r="CR17" s="945"/>
      <c r="CS17" s="945"/>
      <c r="CT17" s="945"/>
      <c r="CU17" s="945"/>
      <c r="CV17" s="945"/>
      <c r="CW17" s="945"/>
      <c r="CX17" s="945"/>
      <c r="CY17" s="945"/>
      <c r="CZ17" s="945"/>
      <c r="DA17" s="945"/>
      <c r="DB17" s="945"/>
      <c r="DC17" s="945"/>
      <c r="DD17" s="945"/>
      <c r="DE17" s="945"/>
      <c r="DF17" s="945"/>
      <c r="DG17" s="945"/>
      <c r="DH17" s="945"/>
      <c r="DI17" s="945"/>
      <c r="DJ17" s="945"/>
      <c r="DK17" s="945"/>
      <c r="DL17" s="945"/>
      <c r="DM17" s="945"/>
      <c r="DN17" s="945"/>
      <c r="DO17" s="945"/>
      <c r="DP17" s="945"/>
      <c r="DQ17" s="945"/>
      <c r="DR17" s="945"/>
      <c r="DS17" s="945"/>
      <c r="DT17" s="945"/>
      <c r="DU17" s="945"/>
      <c r="DV17" s="945"/>
      <c r="DW17" s="945"/>
      <c r="DX17" s="945"/>
      <c r="DY17" s="945"/>
      <c r="DZ17" s="945"/>
      <c r="EA17" s="945"/>
      <c r="EB17" s="945"/>
      <c r="EC17" s="945"/>
      <c r="ED17" s="945"/>
      <c r="EE17" s="945"/>
      <c r="EF17" s="945"/>
      <c r="EG17" s="945"/>
      <c r="EH17" s="945"/>
      <c r="EI17" s="945"/>
      <c r="EJ17" s="945"/>
      <c r="EK17" s="945"/>
      <c r="EL17" s="945"/>
      <c r="EM17" s="945"/>
      <c r="EN17" s="945"/>
      <c r="EO17" s="945"/>
      <c r="EP17" s="945"/>
      <c r="EQ17" s="945"/>
      <c r="ER17" s="945"/>
      <c r="ES17" s="945"/>
      <c r="ET17" s="945"/>
      <c r="EU17" s="945"/>
      <c r="EV17" s="945"/>
      <c r="EW17" s="945"/>
      <c r="EX17" s="945"/>
      <c r="EY17" s="945"/>
      <c r="EZ17" s="945"/>
      <c r="FA17" s="945"/>
      <c r="FB17" s="945"/>
      <c r="FC17" s="945"/>
      <c r="FD17" s="945"/>
      <c r="FE17" s="945"/>
      <c r="FF17" s="945"/>
      <c r="FG17" s="945"/>
      <c r="FH17" s="945"/>
      <c r="FI17" s="945"/>
      <c r="FJ17" s="945"/>
      <c r="FK17" s="945"/>
      <c r="FL17" s="945"/>
      <c r="FM17" s="945"/>
      <c r="FN17" s="945"/>
      <c r="FO17" s="945"/>
      <c r="FP17" s="945"/>
      <c r="FQ17" s="945"/>
      <c r="FR17" s="945"/>
      <c r="FS17" s="945"/>
      <c r="FT17" s="945"/>
      <c r="FU17" s="945"/>
      <c r="FV17" s="945"/>
      <c r="FW17" s="945"/>
      <c r="FX17" s="945"/>
      <c r="FY17" s="945"/>
      <c r="FZ17" s="945"/>
      <c r="GA17" s="945"/>
      <c r="GB17" s="945"/>
      <c r="GC17" s="945"/>
      <c r="GD17" s="945"/>
      <c r="GE17" s="945"/>
      <c r="GF17" s="945"/>
      <c r="GG17" s="945"/>
      <c r="GH17" s="945"/>
      <c r="GI17" s="945"/>
      <c r="GJ17" s="945"/>
      <c r="GK17" s="945"/>
      <c r="GL17" s="945"/>
      <c r="GM17" s="945"/>
      <c r="GN17" s="945"/>
      <c r="GO17" s="945"/>
      <c r="GP17" s="945"/>
      <c r="GQ17" s="945"/>
      <c r="GR17" s="945"/>
      <c r="GS17" s="945"/>
      <c r="GT17" s="945"/>
      <c r="GU17" s="945"/>
      <c r="GV17" s="945"/>
      <c r="GW17" s="945"/>
      <c r="GX17" s="945"/>
      <c r="GY17" s="945"/>
      <c r="GZ17" s="945"/>
      <c r="HA17" s="945"/>
      <c r="HB17" s="945"/>
      <c r="HC17" s="945"/>
      <c r="HD17" s="945"/>
      <c r="HE17" s="945"/>
      <c r="HF17" s="945"/>
      <c r="HG17" s="945"/>
      <c r="HH17" s="945"/>
      <c r="HI17" s="945"/>
      <c r="HJ17" s="945"/>
      <c r="HK17" s="945"/>
      <c r="HL17" s="945"/>
      <c r="HM17" s="945"/>
      <c r="HN17" s="945"/>
      <c r="HO17" s="945"/>
      <c r="HP17" s="945"/>
      <c r="HQ17" s="945"/>
      <c r="HR17" s="945"/>
      <c r="HS17" s="945"/>
      <c r="HT17" s="945"/>
      <c r="HU17" s="945"/>
      <c r="HV17" s="945"/>
      <c r="HW17" s="945"/>
      <c r="HX17" s="945"/>
      <c r="HY17" s="945"/>
      <c r="HZ17" s="945"/>
      <c r="IA17" s="945"/>
      <c r="IB17" s="945"/>
      <c r="IC17" s="945"/>
      <c r="ID17" s="945"/>
      <c r="IE17" s="945"/>
      <c r="IF17" s="945"/>
      <c r="IG17" s="945"/>
      <c r="IH17" s="945"/>
      <c r="II17" s="945"/>
      <c r="IJ17" s="945"/>
      <c r="IK17" s="945"/>
      <c r="IL17" s="945"/>
      <c r="IM17" s="945"/>
      <c r="IN17" s="945"/>
      <c r="IO17" s="945"/>
      <c r="IP17" s="945"/>
      <c r="IQ17" s="945"/>
      <c r="IR17" s="945"/>
      <c r="IS17" s="945"/>
      <c r="IT17" s="945"/>
      <c r="IU17" s="945"/>
      <c r="IV17" s="945"/>
      <c r="IW17" s="945"/>
      <c r="IX17" s="945"/>
      <c r="IY17" s="945"/>
      <c r="IZ17" s="945"/>
      <c r="JA17" s="945"/>
      <c r="JB17" s="945"/>
      <c r="JC17" s="945"/>
      <c r="JD17" s="945"/>
      <c r="JE17" s="945"/>
      <c r="JF17" s="945"/>
      <c r="JG17" s="945"/>
      <c r="JH17" s="945"/>
      <c r="JI17" s="945"/>
      <c r="JJ17" s="945"/>
      <c r="JK17" s="945"/>
      <c r="JL17" s="945"/>
      <c r="JM17" s="945"/>
      <c r="JN17" s="945"/>
      <c r="JO17" s="945"/>
      <c r="JP17" s="945"/>
      <c r="JQ17" s="945"/>
      <c r="JR17" s="945"/>
      <c r="JS17" s="945"/>
      <c r="JT17" s="945"/>
      <c r="JU17" s="945"/>
      <c r="JV17" s="945"/>
      <c r="JW17" s="945"/>
      <c r="JX17" s="945"/>
      <c r="JY17" s="945"/>
      <c r="JZ17" s="945"/>
      <c r="KA17" s="945"/>
      <c r="KB17" s="945"/>
      <c r="KC17" s="945"/>
      <c r="KD17" s="945"/>
      <c r="KE17" s="945"/>
      <c r="KF17" s="945"/>
      <c r="KG17" s="945"/>
      <c r="KH17" s="945"/>
      <c r="KI17" s="945"/>
      <c r="KJ17" s="945"/>
      <c r="KK17" s="945"/>
      <c r="KL17" s="945"/>
      <c r="KM17" s="945"/>
      <c r="KN17" s="945"/>
      <c r="KO17" s="945"/>
      <c r="KP17" s="945"/>
      <c r="KQ17" s="945"/>
      <c r="KR17" s="945"/>
      <c r="KS17" s="945"/>
      <c r="KT17" s="945"/>
      <c r="KU17" s="945"/>
      <c r="KV17" s="945"/>
      <c r="KW17" s="945"/>
      <c r="KX17" s="945"/>
      <c r="KY17" s="945"/>
      <c r="KZ17" s="945"/>
      <c r="LA17" s="945"/>
      <c r="LB17" s="945"/>
      <c r="LC17" s="945"/>
      <c r="LD17" s="945"/>
      <c r="LE17" s="945"/>
      <c r="LF17" s="945"/>
      <c r="LG17" s="945"/>
      <c r="LH17" s="945"/>
      <c r="LI17" s="945"/>
      <c r="LJ17" s="945"/>
      <c r="LK17" s="945"/>
      <c r="LL17" s="945"/>
      <c r="LM17" s="945"/>
      <c r="LN17" s="945"/>
      <c r="LO17" s="945"/>
      <c r="LP17" s="945"/>
      <c r="LQ17" s="945"/>
      <c r="LR17" s="945"/>
      <c r="LS17" s="945"/>
      <c r="LT17" s="945"/>
      <c r="LU17" s="945"/>
      <c r="LV17" s="945"/>
      <c r="LW17" s="945"/>
      <c r="LX17" s="945"/>
      <c r="LY17" s="945"/>
      <c r="LZ17" s="945"/>
      <c r="MA17" s="945"/>
      <c r="MB17" s="945"/>
      <c r="MC17" s="945"/>
      <c r="MD17" s="945"/>
      <c r="ME17" s="945"/>
      <c r="MF17" s="945"/>
      <c r="MG17" s="945"/>
      <c r="MH17" s="945"/>
      <c r="MI17" s="945"/>
      <c r="MJ17" s="945"/>
      <c r="MK17" s="945"/>
      <c r="ML17" s="945"/>
      <c r="MM17" s="945"/>
      <c r="MN17" s="945"/>
      <c r="MO17" s="945"/>
      <c r="MP17" s="945"/>
      <c r="MQ17" s="945"/>
      <c r="MR17" s="945"/>
      <c r="MS17" s="945"/>
      <c r="MT17" s="945"/>
      <c r="MU17" s="945"/>
      <c r="MV17" s="945"/>
      <c r="MW17" s="945"/>
      <c r="MX17" s="945"/>
      <c r="MY17" s="945"/>
      <c r="MZ17" s="945"/>
      <c r="NA17" s="945"/>
      <c r="NB17" s="945"/>
      <c r="NC17" s="945"/>
      <c r="ND17" s="945"/>
      <c r="NE17" s="945"/>
      <c r="NF17" s="945"/>
      <c r="NG17" s="945"/>
      <c r="NH17" s="945"/>
      <c r="NI17" s="945"/>
      <c r="NJ17" s="945"/>
      <c r="NK17" s="945"/>
      <c r="NL17" s="945"/>
      <c r="NM17" s="945"/>
      <c r="NN17" s="945"/>
      <c r="NO17" s="945"/>
      <c r="NP17" s="945"/>
      <c r="NQ17" s="945"/>
      <c r="NR17" s="945"/>
      <c r="NS17" s="945"/>
      <c r="NT17" s="945"/>
      <c r="NU17" s="945"/>
      <c r="NV17" s="945"/>
      <c r="NW17" s="945"/>
      <c r="NX17" s="945"/>
      <c r="NY17" s="945"/>
      <c r="NZ17" s="945"/>
      <c r="OA17" s="945"/>
      <c r="OB17" s="945"/>
      <c r="OC17" s="945"/>
      <c r="OD17" s="945"/>
      <c r="OE17" s="945"/>
      <c r="OF17" s="945"/>
      <c r="OG17" s="945"/>
      <c r="OH17" s="945"/>
      <c r="OI17" s="945"/>
      <c r="OJ17" s="945"/>
      <c r="OK17" s="945"/>
      <c r="OL17" s="945"/>
      <c r="OM17" s="945"/>
      <c r="ON17" s="945"/>
      <c r="OO17" s="945"/>
      <c r="OP17" s="945"/>
      <c r="OQ17" s="945"/>
      <c r="OR17" s="945"/>
      <c r="OS17" s="945"/>
      <c r="OT17" s="945"/>
      <c r="OU17" s="945"/>
      <c r="OV17" s="945"/>
      <c r="OW17" s="945"/>
      <c r="OX17" s="945"/>
      <c r="OY17" s="945"/>
      <c r="OZ17" s="945"/>
      <c r="PA17" s="945"/>
      <c r="PB17" s="945"/>
      <c r="PC17" s="945"/>
      <c r="PD17" s="945"/>
      <c r="PE17" s="945"/>
      <c r="PF17" s="945"/>
      <c r="PG17" s="945"/>
      <c r="PH17" s="945"/>
      <c r="PI17" s="945"/>
      <c r="PJ17" s="945"/>
      <c r="PK17" s="945"/>
      <c r="PL17" s="945"/>
      <c r="PM17" s="945"/>
      <c r="PN17" s="945"/>
      <c r="PO17" s="945"/>
    </row>
    <row r="18" spans="1:431" s="165" customFormat="1">
      <c r="A18" s="945"/>
      <c r="B18" s="945"/>
      <c r="C18" s="948"/>
      <c r="D18" s="948"/>
      <c r="E18" s="948"/>
      <c r="F18" s="948"/>
      <c r="G18" s="948"/>
      <c r="H18" s="948"/>
      <c r="I18" s="948"/>
      <c r="J18" s="948"/>
      <c r="K18" s="948"/>
      <c r="L18" s="948"/>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5"/>
      <c r="AW18" s="945"/>
      <c r="AX18" s="945"/>
      <c r="AY18" s="945"/>
      <c r="AZ18" s="945"/>
      <c r="BA18" s="945"/>
      <c r="BB18" s="945"/>
      <c r="BC18" s="945"/>
      <c r="BD18" s="945"/>
      <c r="BE18" s="945"/>
      <c r="BF18" s="945"/>
      <c r="BG18" s="945"/>
      <c r="BH18" s="945"/>
      <c r="BI18" s="945"/>
      <c r="BJ18" s="945"/>
      <c r="BK18" s="945"/>
      <c r="BL18" s="945"/>
      <c r="BM18" s="945"/>
      <c r="BN18" s="945"/>
      <c r="BO18" s="945"/>
      <c r="BP18" s="945"/>
      <c r="BQ18" s="945"/>
      <c r="BR18" s="945"/>
      <c r="BS18" s="945"/>
      <c r="BT18" s="945"/>
      <c r="BU18" s="945"/>
      <c r="BV18" s="945"/>
      <c r="BW18" s="945"/>
      <c r="BX18" s="945"/>
      <c r="BY18" s="945"/>
      <c r="BZ18" s="945"/>
      <c r="CA18" s="945"/>
      <c r="CB18" s="945"/>
      <c r="CC18" s="945"/>
      <c r="CD18" s="945"/>
      <c r="CE18" s="945"/>
      <c r="CF18" s="945"/>
      <c r="CG18" s="945"/>
      <c r="CH18" s="945"/>
      <c r="CI18" s="945"/>
      <c r="CJ18" s="945"/>
      <c r="CK18" s="945"/>
      <c r="CL18" s="945"/>
      <c r="CM18" s="945"/>
      <c r="CN18" s="945"/>
      <c r="CO18" s="945"/>
      <c r="CP18" s="945"/>
      <c r="CQ18" s="945"/>
      <c r="CR18" s="945"/>
      <c r="CS18" s="945"/>
      <c r="CT18" s="945"/>
      <c r="CU18" s="945"/>
      <c r="CV18" s="945"/>
      <c r="CW18" s="945"/>
      <c r="CX18" s="945"/>
      <c r="CY18" s="945"/>
      <c r="CZ18" s="945"/>
      <c r="DA18" s="945"/>
      <c r="DB18" s="945"/>
      <c r="DC18" s="945"/>
      <c r="DD18" s="945"/>
      <c r="DE18" s="945"/>
      <c r="DF18" s="945"/>
      <c r="DG18" s="945"/>
      <c r="DH18" s="945"/>
      <c r="DI18" s="945"/>
      <c r="DJ18" s="945"/>
      <c r="DK18" s="945"/>
      <c r="DL18" s="945"/>
      <c r="DM18" s="945"/>
      <c r="DN18" s="945"/>
      <c r="DO18" s="945"/>
      <c r="DP18" s="945"/>
      <c r="DQ18" s="945"/>
      <c r="DR18" s="945"/>
      <c r="DS18" s="945"/>
      <c r="DT18" s="945"/>
      <c r="DU18" s="945"/>
      <c r="DV18" s="945"/>
      <c r="DW18" s="945"/>
      <c r="DX18" s="945"/>
      <c r="DY18" s="945"/>
      <c r="DZ18" s="945"/>
      <c r="EA18" s="945"/>
      <c r="EB18" s="945"/>
      <c r="EC18" s="945"/>
      <c r="ED18" s="945"/>
      <c r="EE18" s="945"/>
      <c r="EF18" s="945"/>
      <c r="EG18" s="945"/>
      <c r="EH18" s="945"/>
      <c r="EI18" s="945"/>
      <c r="EJ18" s="945"/>
      <c r="EK18" s="945"/>
      <c r="EL18" s="945"/>
      <c r="EM18" s="945"/>
      <c r="EN18" s="945"/>
      <c r="EO18" s="945"/>
      <c r="EP18" s="945"/>
      <c r="EQ18" s="945"/>
      <c r="ER18" s="945"/>
      <c r="ES18" s="945"/>
      <c r="ET18" s="945"/>
      <c r="EU18" s="945"/>
      <c r="EV18" s="945"/>
      <c r="EW18" s="945"/>
      <c r="EX18" s="945"/>
      <c r="EY18" s="945"/>
      <c r="EZ18" s="945"/>
      <c r="FA18" s="945"/>
      <c r="FB18" s="945"/>
      <c r="FC18" s="945"/>
      <c r="FD18" s="945"/>
      <c r="FE18" s="945"/>
      <c r="FF18" s="945"/>
      <c r="FG18" s="945"/>
      <c r="FH18" s="945"/>
      <c r="FI18" s="945"/>
      <c r="FJ18" s="945"/>
      <c r="FK18" s="945"/>
      <c r="FL18" s="945"/>
      <c r="FM18" s="945"/>
      <c r="FN18" s="945"/>
      <c r="FO18" s="945"/>
      <c r="FP18" s="945"/>
      <c r="FQ18" s="945"/>
      <c r="FR18" s="945"/>
      <c r="FS18" s="945"/>
      <c r="FT18" s="945"/>
      <c r="FU18" s="945"/>
      <c r="FV18" s="945"/>
      <c r="FW18" s="945"/>
      <c r="FX18" s="945"/>
      <c r="FY18" s="945"/>
      <c r="FZ18" s="945"/>
      <c r="GA18" s="945"/>
      <c r="GB18" s="945"/>
      <c r="GC18" s="945"/>
      <c r="GD18" s="945"/>
      <c r="GE18" s="945"/>
      <c r="GF18" s="945"/>
      <c r="GG18" s="945"/>
      <c r="GH18" s="945"/>
      <c r="GI18" s="945"/>
      <c r="GJ18" s="945"/>
      <c r="GK18" s="945"/>
      <c r="GL18" s="945"/>
      <c r="GM18" s="945"/>
      <c r="GN18" s="945"/>
      <c r="GO18" s="945"/>
      <c r="GP18" s="945"/>
      <c r="GQ18" s="945"/>
      <c r="GR18" s="945"/>
      <c r="GS18" s="945"/>
      <c r="GT18" s="945"/>
      <c r="GU18" s="945"/>
      <c r="GV18" s="945"/>
      <c r="GW18" s="945"/>
      <c r="GX18" s="945"/>
      <c r="GY18" s="945"/>
      <c r="GZ18" s="945"/>
      <c r="HA18" s="945"/>
      <c r="HB18" s="945"/>
      <c r="HC18" s="945"/>
      <c r="HD18" s="945"/>
      <c r="HE18" s="945"/>
      <c r="HF18" s="945"/>
      <c r="HG18" s="945"/>
      <c r="HH18" s="945"/>
      <c r="HI18" s="945"/>
      <c r="HJ18" s="945"/>
      <c r="HK18" s="945"/>
      <c r="HL18" s="945"/>
      <c r="HM18" s="945"/>
      <c r="HN18" s="945"/>
      <c r="HO18" s="945"/>
      <c r="HP18" s="945"/>
      <c r="HQ18" s="945"/>
      <c r="HR18" s="945"/>
      <c r="HS18" s="945"/>
      <c r="HT18" s="945"/>
      <c r="HU18" s="945"/>
      <c r="HV18" s="945"/>
      <c r="HW18" s="945"/>
      <c r="HX18" s="945"/>
      <c r="HY18" s="945"/>
      <c r="HZ18" s="945"/>
      <c r="IA18" s="945"/>
      <c r="IB18" s="945"/>
      <c r="IC18" s="945"/>
      <c r="ID18" s="945"/>
      <c r="IE18" s="945"/>
      <c r="IF18" s="945"/>
      <c r="IG18" s="945"/>
      <c r="IH18" s="945"/>
      <c r="II18" s="945"/>
      <c r="IJ18" s="945"/>
      <c r="IK18" s="945"/>
      <c r="IL18" s="945"/>
      <c r="IM18" s="945"/>
      <c r="IN18" s="945"/>
      <c r="IO18" s="945"/>
      <c r="IP18" s="945"/>
      <c r="IQ18" s="945"/>
      <c r="IR18" s="945"/>
      <c r="IS18" s="945"/>
      <c r="IT18" s="945"/>
      <c r="IU18" s="945"/>
      <c r="IV18" s="945"/>
      <c r="IW18" s="945"/>
      <c r="IX18" s="945"/>
      <c r="IY18" s="945"/>
      <c r="IZ18" s="945"/>
      <c r="JA18" s="945"/>
      <c r="JB18" s="945"/>
      <c r="JC18" s="945"/>
      <c r="JD18" s="945"/>
      <c r="JE18" s="945"/>
      <c r="JF18" s="945"/>
      <c r="JG18" s="945"/>
      <c r="JH18" s="945"/>
      <c r="JI18" s="945"/>
      <c r="JJ18" s="945"/>
      <c r="JK18" s="945"/>
      <c r="JL18" s="945"/>
      <c r="JM18" s="945"/>
      <c r="JN18" s="945"/>
      <c r="JO18" s="945"/>
      <c r="JP18" s="945"/>
      <c r="JQ18" s="945"/>
      <c r="JR18" s="945"/>
      <c r="JS18" s="945"/>
      <c r="JT18" s="945"/>
      <c r="JU18" s="945"/>
      <c r="JV18" s="945"/>
      <c r="JW18" s="945"/>
      <c r="JX18" s="945"/>
      <c r="JY18" s="945"/>
      <c r="JZ18" s="945"/>
      <c r="KA18" s="945"/>
      <c r="KB18" s="945"/>
      <c r="KC18" s="945"/>
      <c r="KD18" s="945"/>
      <c r="KE18" s="945"/>
      <c r="KF18" s="945"/>
      <c r="KG18" s="945"/>
      <c r="KH18" s="945"/>
      <c r="KI18" s="945"/>
      <c r="KJ18" s="945"/>
      <c r="KK18" s="945"/>
      <c r="KL18" s="945"/>
      <c r="KM18" s="945"/>
      <c r="KN18" s="945"/>
      <c r="KO18" s="945"/>
      <c r="KP18" s="945"/>
      <c r="KQ18" s="945"/>
      <c r="KR18" s="945"/>
      <c r="KS18" s="945"/>
      <c r="KT18" s="945"/>
      <c r="KU18" s="945"/>
      <c r="KV18" s="945"/>
      <c r="KW18" s="945"/>
      <c r="KX18" s="945"/>
      <c r="KY18" s="945"/>
      <c r="KZ18" s="945"/>
      <c r="LA18" s="945"/>
      <c r="LB18" s="945"/>
      <c r="LC18" s="945"/>
      <c r="LD18" s="945"/>
      <c r="LE18" s="945"/>
      <c r="LF18" s="945"/>
      <c r="LG18" s="945"/>
      <c r="LH18" s="945"/>
      <c r="LI18" s="945"/>
      <c r="LJ18" s="945"/>
      <c r="LK18" s="945"/>
      <c r="LL18" s="945"/>
      <c r="LM18" s="945"/>
      <c r="LN18" s="945"/>
      <c r="LO18" s="945"/>
      <c r="LP18" s="945"/>
      <c r="LQ18" s="945"/>
      <c r="LR18" s="945"/>
      <c r="LS18" s="945"/>
      <c r="LT18" s="945"/>
      <c r="LU18" s="945"/>
      <c r="LV18" s="945"/>
      <c r="LW18" s="945"/>
      <c r="LX18" s="945"/>
      <c r="LY18" s="945"/>
      <c r="LZ18" s="945"/>
      <c r="MA18" s="945"/>
      <c r="MB18" s="945"/>
      <c r="MC18" s="945"/>
      <c r="MD18" s="945"/>
      <c r="ME18" s="945"/>
      <c r="MF18" s="945"/>
      <c r="MG18" s="945"/>
      <c r="MH18" s="945"/>
      <c r="MI18" s="945"/>
      <c r="MJ18" s="945"/>
      <c r="MK18" s="945"/>
      <c r="ML18" s="945"/>
      <c r="MM18" s="945"/>
      <c r="MN18" s="945"/>
      <c r="MO18" s="945"/>
      <c r="MP18" s="945"/>
      <c r="MQ18" s="945"/>
      <c r="MR18" s="945"/>
      <c r="MS18" s="945"/>
      <c r="MT18" s="945"/>
      <c r="MU18" s="945"/>
      <c r="MV18" s="945"/>
      <c r="MW18" s="945"/>
      <c r="MX18" s="945"/>
      <c r="MY18" s="945"/>
      <c r="MZ18" s="945"/>
      <c r="NA18" s="945"/>
      <c r="NB18" s="945"/>
      <c r="NC18" s="945"/>
      <c r="ND18" s="945"/>
      <c r="NE18" s="945"/>
      <c r="NF18" s="945"/>
      <c r="NG18" s="945"/>
      <c r="NH18" s="945"/>
      <c r="NI18" s="945"/>
      <c r="NJ18" s="945"/>
      <c r="NK18" s="945"/>
      <c r="NL18" s="945"/>
      <c r="NM18" s="945"/>
      <c r="NN18" s="945"/>
      <c r="NO18" s="945"/>
      <c r="NP18" s="945"/>
      <c r="NQ18" s="945"/>
      <c r="NR18" s="945"/>
      <c r="NS18" s="945"/>
      <c r="NT18" s="945"/>
      <c r="NU18" s="945"/>
      <c r="NV18" s="945"/>
      <c r="NW18" s="945"/>
      <c r="NX18" s="945"/>
      <c r="NY18" s="945"/>
      <c r="NZ18" s="945"/>
      <c r="OA18" s="945"/>
      <c r="OB18" s="945"/>
      <c r="OC18" s="945"/>
      <c r="OD18" s="945"/>
      <c r="OE18" s="945"/>
      <c r="OF18" s="945"/>
      <c r="OG18" s="945"/>
      <c r="OH18" s="945"/>
      <c r="OI18" s="945"/>
      <c r="OJ18" s="945"/>
      <c r="OK18" s="945"/>
      <c r="OL18" s="945"/>
      <c r="OM18" s="945"/>
      <c r="ON18" s="945"/>
      <c r="OO18" s="945"/>
      <c r="OP18" s="945"/>
      <c r="OQ18" s="945"/>
      <c r="OR18" s="945"/>
      <c r="OS18" s="945"/>
      <c r="OT18" s="945"/>
      <c r="OU18" s="945"/>
      <c r="OV18" s="945"/>
      <c r="OW18" s="945"/>
      <c r="OX18" s="945"/>
      <c r="OY18" s="945"/>
      <c r="OZ18" s="945"/>
      <c r="PA18" s="945"/>
      <c r="PB18" s="945"/>
      <c r="PC18" s="945"/>
      <c r="PD18" s="945"/>
      <c r="PE18" s="945"/>
      <c r="PF18" s="945"/>
      <c r="PG18" s="945"/>
      <c r="PH18" s="945"/>
      <c r="PI18" s="945"/>
      <c r="PJ18" s="945"/>
      <c r="PK18" s="945"/>
      <c r="PL18" s="945"/>
      <c r="PM18" s="945"/>
      <c r="PN18" s="945"/>
      <c r="PO18" s="945"/>
    </row>
    <row r="19" spans="1:431" s="165" customFormat="1">
      <c r="A19" s="945"/>
      <c r="B19" s="945"/>
      <c r="C19" s="948"/>
      <c r="D19" s="948"/>
      <c r="E19" s="948"/>
      <c r="F19" s="948"/>
      <c r="G19" s="948"/>
      <c r="H19" s="948"/>
      <c r="I19" s="948"/>
      <c r="J19" s="948"/>
      <c r="K19" s="948"/>
      <c r="L19" s="948"/>
      <c r="M19" s="945"/>
      <c r="N19" s="945"/>
      <c r="O19" s="945"/>
      <c r="P19" s="945"/>
      <c r="Q19" s="945"/>
      <c r="R19" s="945"/>
      <c r="S19" s="945"/>
      <c r="T19" s="945"/>
      <c r="U19" s="945"/>
      <c r="V19" s="945"/>
      <c r="W19" s="945"/>
      <c r="X19" s="945"/>
      <c r="Y19" s="945"/>
      <c r="Z19" s="945"/>
      <c r="AA19" s="945"/>
      <c r="AB19" s="945"/>
      <c r="AC19" s="945"/>
      <c r="AD19" s="945"/>
      <c r="AE19" s="945"/>
      <c r="AF19" s="945"/>
      <c r="AG19" s="945"/>
      <c r="AH19" s="945"/>
      <c r="AI19" s="945"/>
      <c r="AJ19" s="945"/>
      <c r="AK19" s="945"/>
      <c r="AL19" s="945"/>
      <c r="AM19" s="945"/>
      <c r="AN19" s="945"/>
      <c r="AO19" s="945"/>
      <c r="AP19" s="945"/>
      <c r="AQ19" s="945"/>
      <c r="AR19" s="945"/>
      <c r="AS19" s="945"/>
      <c r="AT19" s="945"/>
      <c r="AU19" s="945"/>
      <c r="AV19" s="945"/>
      <c r="AW19" s="945"/>
      <c r="AX19" s="945"/>
      <c r="AY19" s="945"/>
      <c r="AZ19" s="945"/>
      <c r="BA19" s="945"/>
      <c r="BB19" s="945"/>
      <c r="BC19" s="945"/>
      <c r="BD19" s="945"/>
      <c r="BE19" s="945"/>
      <c r="BF19" s="945"/>
      <c r="BG19" s="945"/>
      <c r="BH19" s="945"/>
      <c r="BI19" s="945"/>
      <c r="BJ19" s="945"/>
      <c r="BK19" s="945"/>
      <c r="BL19" s="945"/>
      <c r="BM19" s="945"/>
      <c r="BN19" s="945"/>
      <c r="BO19" s="945"/>
      <c r="BP19" s="945"/>
      <c r="BQ19" s="945"/>
      <c r="BR19" s="945"/>
      <c r="BS19" s="945"/>
      <c r="BT19" s="945"/>
      <c r="BU19" s="945"/>
      <c r="BV19" s="945"/>
      <c r="BW19" s="945"/>
      <c r="BX19" s="945"/>
      <c r="BY19" s="945"/>
      <c r="BZ19" s="945"/>
      <c r="CA19" s="945"/>
      <c r="CB19" s="945"/>
      <c r="CC19" s="945"/>
      <c r="CD19" s="945"/>
      <c r="CE19" s="945"/>
      <c r="CF19" s="945"/>
      <c r="CG19" s="945"/>
      <c r="CH19" s="945"/>
      <c r="CI19" s="945"/>
      <c r="CJ19" s="945"/>
      <c r="CK19" s="945"/>
      <c r="CL19" s="945"/>
      <c r="CM19" s="945"/>
      <c r="CN19" s="945"/>
      <c r="CO19" s="945"/>
      <c r="CP19" s="945"/>
      <c r="CQ19" s="945"/>
      <c r="CR19" s="945"/>
      <c r="CS19" s="945"/>
      <c r="CT19" s="945"/>
      <c r="CU19" s="945"/>
      <c r="CV19" s="945"/>
      <c r="CW19" s="945"/>
      <c r="CX19" s="945"/>
      <c r="CY19" s="945"/>
      <c r="CZ19" s="945"/>
      <c r="DA19" s="945"/>
      <c r="DB19" s="945"/>
      <c r="DC19" s="945"/>
      <c r="DD19" s="945"/>
      <c r="DE19" s="945"/>
      <c r="DF19" s="945"/>
      <c r="DG19" s="945"/>
      <c r="DH19" s="945"/>
      <c r="DI19" s="945"/>
      <c r="DJ19" s="945"/>
      <c r="DK19" s="945"/>
      <c r="DL19" s="945"/>
      <c r="DM19" s="945"/>
      <c r="DN19" s="945"/>
      <c r="DO19" s="945"/>
      <c r="DP19" s="945"/>
      <c r="DQ19" s="945"/>
      <c r="DR19" s="945"/>
      <c r="DS19" s="945"/>
      <c r="DT19" s="945"/>
      <c r="DU19" s="945"/>
      <c r="DV19" s="945"/>
      <c r="DW19" s="945"/>
      <c r="DX19" s="945"/>
      <c r="DY19" s="945"/>
      <c r="DZ19" s="945"/>
      <c r="EA19" s="945"/>
      <c r="EB19" s="945"/>
      <c r="EC19" s="945"/>
      <c r="ED19" s="945"/>
      <c r="EE19" s="945"/>
      <c r="EF19" s="945"/>
      <c r="EG19" s="945"/>
      <c r="EH19" s="945"/>
      <c r="EI19" s="945"/>
      <c r="EJ19" s="945"/>
      <c r="EK19" s="945"/>
      <c r="EL19" s="945"/>
      <c r="EM19" s="945"/>
      <c r="EN19" s="945"/>
      <c r="EO19" s="945"/>
      <c r="EP19" s="945"/>
      <c r="EQ19" s="945"/>
      <c r="ER19" s="945"/>
      <c r="ES19" s="945"/>
      <c r="ET19" s="945"/>
      <c r="EU19" s="945"/>
      <c r="EV19" s="945"/>
      <c r="EW19" s="945"/>
      <c r="EX19" s="945"/>
      <c r="EY19" s="945"/>
      <c r="EZ19" s="945"/>
      <c r="FA19" s="945"/>
      <c r="FB19" s="945"/>
      <c r="FC19" s="945"/>
      <c r="FD19" s="945"/>
      <c r="FE19" s="945"/>
      <c r="FF19" s="945"/>
      <c r="FG19" s="945"/>
      <c r="FH19" s="945"/>
      <c r="FI19" s="945"/>
      <c r="FJ19" s="945"/>
      <c r="FK19" s="945"/>
      <c r="FL19" s="945"/>
      <c r="FM19" s="945"/>
      <c r="FN19" s="945"/>
      <c r="FO19" s="945"/>
      <c r="FP19" s="945"/>
      <c r="FQ19" s="945"/>
      <c r="FR19" s="945"/>
      <c r="FS19" s="945"/>
      <c r="FT19" s="945"/>
      <c r="FU19" s="945"/>
      <c r="FV19" s="945"/>
      <c r="FW19" s="945"/>
      <c r="FX19" s="945"/>
      <c r="FY19" s="945"/>
      <c r="FZ19" s="945"/>
      <c r="GA19" s="945"/>
      <c r="GB19" s="945"/>
      <c r="GC19" s="945"/>
      <c r="GD19" s="945"/>
      <c r="GE19" s="945"/>
      <c r="GF19" s="945"/>
      <c r="GG19" s="945"/>
      <c r="GH19" s="945"/>
      <c r="GI19" s="945"/>
      <c r="GJ19" s="945"/>
      <c r="GK19" s="945"/>
      <c r="GL19" s="945"/>
      <c r="GM19" s="945"/>
      <c r="GN19" s="945"/>
      <c r="GO19" s="945"/>
      <c r="GP19" s="945"/>
      <c r="GQ19" s="945"/>
      <c r="GR19" s="945"/>
      <c r="GS19" s="945"/>
      <c r="GT19" s="945"/>
      <c r="GU19" s="945"/>
      <c r="GV19" s="945"/>
      <c r="GW19" s="945"/>
      <c r="GX19" s="945"/>
      <c r="GY19" s="945"/>
      <c r="GZ19" s="945"/>
      <c r="HA19" s="945"/>
      <c r="HB19" s="945"/>
      <c r="HC19" s="945"/>
      <c r="HD19" s="945"/>
      <c r="HE19" s="945"/>
      <c r="HF19" s="945"/>
      <c r="HG19" s="945"/>
      <c r="HH19" s="945"/>
      <c r="HI19" s="945"/>
      <c r="HJ19" s="945"/>
      <c r="HK19" s="945"/>
      <c r="HL19" s="945"/>
      <c r="HM19" s="945"/>
      <c r="HN19" s="945"/>
      <c r="HO19" s="945"/>
      <c r="HP19" s="945"/>
      <c r="HQ19" s="945"/>
      <c r="HR19" s="945"/>
      <c r="HS19" s="945"/>
      <c r="HT19" s="945"/>
      <c r="HU19" s="945"/>
      <c r="HV19" s="945"/>
      <c r="HW19" s="945"/>
      <c r="HX19" s="945"/>
      <c r="HY19" s="945"/>
      <c r="HZ19" s="945"/>
      <c r="IA19" s="945"/>
      <c r="IB19" s="945"/>
      <c r="IC19" s="945"/>
      <c r="ID19" s="945"/>
      <c r="IE19" s="945"/>
      <c r="IF19" s="945"/>
      <c r="IG19" s="945"/>
      <c r="IH19" s="945"/>
      <c r="II19" s="945"/>
      <c r="IJ19" s="945"/>
      <c r="IK19" s="945"/>
      <c r="IL19" s="945"/>
      <c r="IM19" s="945"/>
      <c r="IN19" s="945"/>
      <c r="IO19" s="945"/>
      <c r="IP19" s="945"/>
      <c r="IQ19" s="945"/>
      <c r="IR19" s="945"/>
      <c r="IS19" s="945"/>
      <c r="IT19" s="945"/>
      <c r="IU19" s="945"/>
      <c r="IV19" s="945"/>
      <c r="IW19" s="945"/>
      <c r="IX19" s="945"/>
      <c r="IY19" s="945"/>
      <c r="IZ19" s="945"/>
      <c r="JA19" s="945"/>
      <c r="JB19" s="945"/>
      <c r="JC19" s="945"/>
      <c r="JD19" s="945"/>
      <c r="JE19" s="945"/>
      <c r="JF19" s="945"/>
      <c r="JG19" s="945"/>
      <c r="JH19" s="945"/>
      <c r="JI19" s="945"/>
      <c r="JJ19" s="945"/>
      <c r="JK19" s="945"/>
      <c r="JL19" s="945"/>
      <c r="JM19" s="945"/>
      <c r="JN19" s="945"/>
      <c r="JO19" s="945"/>
      <c r="JP19" s="945"/>
      <c r="JQ19" s="945"/>
      <c r="JR19" s="945"/>
      <c r="JS19" s="945"/>
      <c r="JT19" s="945"/>
      <c r="JU19" s="945"/>
      <c r="JV19" s="945"/>
      <c r="JW19" s="945"/>
      <c r="JX19" s="945"/>
      <c r="JY19" s="945"/>
      <c r="JZ19" s="945"/>
      <c r="KA19" s="945"/>
      <c r="KB19" s="945"/>
      <c r="KC19" s="945"/>
      <c r="KD19" s="945"/>
      <c r="KE19" s="945"/>
      <c r="KF19" s="945"/>
      <c r="KG19" s="945"/>
      <c r="KH19" s="945"/>
      <c r="KI19" s="945"/>
      <c r="KJ19" s="945"/>
      <c r="KK19" s="945"/>
      <c r="KL19" s="945"/>
      <c r="KM19" s="945"/>
      <c r="KN19" s="945"/>
      <c r="KO19" s="945"/>
      <c r="KP19" s="945"/>
      <c r="KQ19" s="945"/>
      <c r="KR19" s="945"/>
      <c r="KS19" s="945"/>
      <c r="KT19" s="945"/>
      <c r="KU19" s="945"/>
      <c r="KV19" s="945"/>
      <c r="KW19" s="945"/>
      <c r="KX19" s="945"/>
      <c r="KY19" s="945"/>
      <c r="KZ19" s="945"/>
      <c r="LA19" s="945"/>
      <c r="LB19" s="945"/>
      <c r="LC19" s="945"/>
      <c r="LD19" s="945"/>
      <c r="LE19" s="945"/>
      <c r="LF19" s="945"/>
      <c r="LG19" s="945"/>
      <c r="LH19" s="945"/>
      <c r="LI19" s="945"/>
      <c r="LJ19" s="945"/>
      <c r="LK19" s="945"/>
      <c r="LL19" s="945"/>
      <c r="LM19" s="945"/>
      <c r="LN19" s="945"/>
      <c r="LO19" s="945"/>
      <c r="LP19" s="945"/>
      <c r="LQ19" s="945"/>
      <c r="LR19" s="945"/>
      <c r="LS19" s="945"/>
      <c r="LT19" s="945"/>
      <c r="LU19" s="945"/>
      <c r="LV19" s="945"/>
      <c r="LW19" s="945"/>
      <c r="LX19" s="945"/>
      <c r="LY19" s="945"/>
      <c r="LZ19" s="945"/>
      <c r="MA19" s="945"/>
      <c r="MB19" s="945"/>
      <c r="MC19" s="945"/>
      <c r="MD19" s="945"/>
      <c r="ME19" s="945"/>
      <c r="MF19" s="945"/>
      <c r="MG19" s="945"/>
      <c r="MH19" s="945"/>
      <c r="MI19" s="945"/>
      <c r="MJ19" s="945"/>
      <c r="MK19" s="945"/>
      <c r="ML19" s="945"/>
      <c r="MM19" s="945"/>
      <c r="MN19" s="945"/>
      <c r="MO19" s="945"/>
      <c r="MP19" s="945"/>
      <c r="MQ19" s="945"/>
      <c r="MR19" s="945"/>
      <c r="MS19" s="945"/>
      <c r="MT19" s="945"/>
      <c r="MU19" s="945"/>
      <c r="MV19" s="945"/>
      <c r="MW19" s="945"/>
      <c r="MX19" s="945"/>
      <c r="MY19" s="945"/>
      <c r="MZ19" s="945"/>
      <c r="NA19" s="945"/>
      <c r="NB19" s="945"/>
      <c r="NC19" s="945"/>
      <c r="ND19" s="945"/>
      <c r="NE19" s="945"/>
      <c r="NF19" s="945"/>
      <c r="NG19" s="945"/>
      <c r="NH19" s="945"/>
      <c r="NI19" s="945"/>
      <c r="NJ19" s="945"/>
      <c r="NK19" s="945"/>
      <c r="NL19" s="945"/>
      <c r="NM19" s="945"/>
      <c r="NN19" s="945"/>
      <c r="NO19" s="945"/>
      <c r="NP19" s="945"/>
      <c r="NQ19" s="945"/>
      <c r="NR19" s="945"/>
      <c r="NS19" s="945"/>
      <c r="NT19" s="945"/>
      <c r="NU19" s="945"/>
      <c r="NV19" s="945"/>
      <c r="NW19" s="945"/>
      <c r="NX19" s="945"/>
      <c r="NY19" s="945"/>
      <c r="NZ19" s="945"/>
      <c r="OA19" s="945"/>
      <c r="OB19" s="945"/>
      <c r="OC19" s="945"/>
      <c r="OD19" s="945"/>
      <c r="OE19" s="945"/>
      <c r="OF19" s="945"/>
      <c r="OG19" s="945"/>
      <c r="OH19" s="945"/>
      <c r="OI19" s="945"/>
      <c r="OJ19" s="945"/>
      <c r="OK19" s="945"/>
      <c r="OL19" s="945"/>
      <c r="OM19" s="945"/>
      <c r="ON19" s="945"/>
      <c r="OO19" s="945"/>
      <c r="OP19" s="945"/>
      <c r="OQ19" s="945"/>
      <c r="OR19" s="945"/>
      <c r="OS19" s="945"/>
      <c r="OT19" s="945"/>
      <c r="OU19" s="945"/>
      <c r="OV19" s="945"/>
      <c r="OW19" s="945"/>
      <c r="OX19" s="945"/>
      <c r="OY19" s="945"/>
      <c r="OZ19" s="945"/>
      <c r="PA19" s="945"/>
      <c r="PB19" s="945"/>
      <c r="PC19" s="945"/>
      <c r="PD19" s="945"/>
      <c r="PE19" s="945"/>
      <c r="PF19" s="945"/>
      <c r="PG19" s="945"/>
      <c r="PH19" s="945"/>
      <c r="PI19" s="945"/>
      <c r="PJ19" s="945"/>
      <c r="PK19" s="945"/>
      <c r="PL19" s="945"/>
      <c r="PM19" s="945"/>
      <c r="PN19" s="945"/>
      <c r="PO19" s="945"/>
    </row>
    <row r="20" spans="1:431" s="165" customFormat="1">
      <c r="A20" s="945"/>
      <c r="B20" s="945"/>
      <c r="C20" s="948"/>
      <c r="D20" s="948"/>
      <c r="E20" s="948"/>
      <c r="F20" s="948"/>
      <c r="G20" s="948"/>
      <c r="H20" s="948"/>
      <c r="I20" s="948"/>
      <c r="J20" s="948"/>
      <c r="K20" s="948"/>
      <c r="L20" s="948"/>
      <c r="M20" s="945"/>
      <c r="N20" s="945"/>
      <c r="O20" s="945"/>
      <c r="P20" s="945"/>
      <c r="Q20" s="945"/>
      <c r="R20" s="945"/>
      <c r="S20" s="945"/>
      <c r="T20" s="945"/>
      <c r="U20" s="945"/>
      <c r="V20" s="945"/>
      <c r="W20" s="945"/>
      <c r="X20" s="945"/>
      <c r="Y20" s="945"/>
      <c r="Z20" s="945"/>
      <c r="AA20" s="945"/>
      <c r="AB20" s="945"/>
      <c r="AC20" s="945"/>
      <c r="AD20" s="945"/>
      <c r="AE20" s="945"/>
      <c r="AF20" s="945"/>
      <c r="AG20" s="945"/>
      <c r="AH20" s="945"/>
      <c r="AI20" s="945"/>
      <c r="AJ20" s="945"/>
      <c r="AK20" s="945"/>
      <c r="AL20" s="945"/>
      <c r="AM20" s="945"/>
      <c r="AN20" s="945"/>
      <c r="AO20" s="945"/>
      <c r="AP20" s="945"/>
      <c r="AQ20" s="945"/>
      <c r="AR20" s="945"/>
      <c r="AS20" s="945"/>
      <c r="AT20" s="945"/>
      <c r="AU20" s="945"/>
      <c r="AV20" s="945"/>
      <c r="AW20" s="945"/>
      <c r="AX20" s="945"/>
      <c r="AY20" s="945"/>
      <c r="AZ20" s="945"/>
      <c r="BA20" s="945"/>
      <c r="BB20" s="945"/>
      <c r="BC20" s="945"/>
      <c r="BD20" s="945"/>
      <c r="BE20" s="945"/>
      <c r="BF20" s="945"/>
      <c r="BG20" s="945"/>
      <c r="BH20" s="945"/>
      <c r="BI20" s="945"/>
      <c r="BJ20" s="945"/>
      <c r="BK20" s="945"/>
      <c r="BL20" s="945"/>
      <c r="BM20" s="945"/>
      <c r="BN20" s="945"/>
      <c r="BO20" s="945"/>
      <c r="BP20" s="945"/>
      <c r="BQ20" s="945"/>
      <c r="BR20" s="945"/>
      <c r="BS20" s="945"/>
      <c r="BT20" s="945"/>
      <c r="BU20" s="945"/>
      <c r="BV20" s="945"/>
      <c r="BW20" s="945"/>
      <c r="BX20" s="945"/>
      <c r="BY20" s="945"/>
      <c r="BZ20" s="945"/>
      <c r="CA20" s="945"/>
      <c r="CB20" s="945"/>
      <c r="CC20" s="945"/>
      <c r="CD20" s="945"/>
      <c r="CE20" s="945"/>
      <c r="CF20" s="945"/>
      <c r="CG20" s="945"/>
      <c r="CH20" s="945"/>
      <c r="CI20" s="945"/>
      <c r="CJ20" s="945"/>
      <c r="CK20" s="945"/>
      <c r="CL20" s="945"/>
      <c r="CM20" s="945"/>
      <c r="CN20" s="945"/>
      <c r="CO20" s="945"/>
      <c r="CP20" s="945"/>
      <c r="CQ20" s="945"/>
      <c r="CR20" s="945"/>
      <c r="CS20" s="945"/>
      <c r="CT20" s="945"/>
      <c r="CU20" s="945"/>
      <c r="CV20" s="945"/>
      <c r="CW20" s="945"/>
      <c r="CX20" s="945"/>
      <c r="CY20" s="945"/>
      <c r="CZ20" s="945"/>
      <c r="DA20" s="945"/>
      <c r="DB20" s="945"/>
      <c r="DC20" s="945"/>
      <c r="DD20" s="945"/>
      <c r="DE20" s="945"/>
      <c r="DF20" s="945"/>
      <c r="DG20" s="945"/>
      <c r="DH20" s="945"/>
      <c r="DI20" s="945"/>
      <c r="DJ20" s="945"/>
      <c r="DK20" s="945"/>
      <c r="DL20" s="945"/>
      <c r="DM20" s="945"/>
      <c r="DN20" s="945"/>
      <c r="DO20" s="945"/>
      <c r="DP20" s="945"/>
      <c r="DQ20" s="945"/>
      <c r="DR20" s="945"/>
      <c r="DS20" s="945"/>
      <c r="DT20" s="945"/>
      <c r="DU20" s="945"/>
      <c r="DV20" s="945"/>
      <c r="DW20" s="945"/>
      <c r="DX20" s="945"/>
      <c r="DY20" s="945"/>
      <c r="DZ20" s="945"/>
      <c r="EA20" s="945"/>
      <c r="EB20" s="945"/>
      <c r="EC20" s="945"/>
      <c r="ED20" s="945"/>
      <c r="EE20" s="945"/>
      <c r="EF20" s="945"/>
      <c r="EG20" s="945"/>
      <c r="EH20" s="945"/>
      <c r="EI20" s="945"/>
      <c r="EJ20" s="945"/>
      <c r="EK20" s="945"/>
      <c r="EL20" s="945"/>
      <c r="EM20" s="945"/>
      <c r="EN20" s="945"/>
      <c r="EO20" s="945"/>
      <c r="EP20" s="945"/>
      <c r="EQ20" s="945"/>
      <c r="ER20" s="945"/>
      <c r="ES20" s="945"/>
      <c r="ET20" s="945"/>
      <c r="EU20" s="945"/>
      <c r="EV20" s="945"/>
      <c r="EW20" s="945"/>
      <c r="EX20" s="945"/>
      <c r="EY20" s="945"/>
      <c r="EZ20" s="945"/>
      <c r="FA20" s="945"/>
      <c r="FB20" s="945"/>
      <c r="FC20" s="945"/>
      <c r="FD20" s="945"/>
      <c r="FE20" s="945"/>
      <c r="FF20" s="945"/>
      <c r="FG20" s="945"/>
      <c r="FH20" s="945"/>
      <c r="FI20" s="945"/>
      <c r="FJ20" s="945"/>
      <c r="FK20" s="945"/>
      <c r="FL20" s="945"/>
      <c r="FM20" s="945"/>
      <c r="FN20" s="945"/>
      <c r="FO20" s="945"/>
      <c r="FP20" s="945"/>
      <c r="FQ20" s="945"/>
      <c r="FR20" s="945"/>
      <c r="FS20" s="945"/>
      <c r="FT20" s="945"/>
      <c r="FU20" s="945"/>
      <c r="FV20" s="945"/>
      <c r="FW20" s="945"/>
      <c r="FX20" s="945"/>
      <c r="FY20" s="945"/>
      <c r="FZ20" s="945"/>
      <c r="GA20" s="945"/>
      <c r="GB20" s="945"/>
      <c r="GC20" s="945"/>
      <c r="GD20" s="945"/>
      <c r="GE20" s="945"/>
      <c r="GF20" s="945"/>
      <c r="GG20" s="945"/>
      <c r="GH20" s="945"/>
      <c r="GI20" s="945"/>
      <c r="GJ20" s="945"/>
      <c r="GK20" s="945"/>
      <c r="GL20" s="945"/>
      <c r="GM20" s="945"/>
      <c r="GN20" s="945"/>
      <c r="GO20" s="945"/>
      <c r="GP20" s="945"/>
      <c r="GQ20" s="945"/>
      <c r="GR20" s="945"/>
      <c r="GS20" s="945"/>
      <c r="GT20" s="945"/>
      <c r="GU20" s="945"/>
      <c r="GV20" s="945"/>
      <c r="GW20" s="945"/>
      <c r="GX20" s="945"/>
      <c r="GY20" s="945"/>
      <c r="GZ20" s="945"/>
      <c r="HA20" s="945"/>
      <c r="HB20" s="945"/>
      <c r="HC20" s="945"/>
      <c r="HD20" s="945"/>
      <c r="HE20" s="945"/>
      <c r="HF20" s="945"/>
      <c r="HG20" s="945"/>
      <c r="HH20" s="945"/>
      <c r="HI20" s="945"/>
      <c r="HJ20" s="945"/>
      <c r="HK20" s="945"/>
      <c r="HL20" s="945"/>
      <c r="HM20" s="945"/>
      <c r="HN20" s="945"/>
      <c r="HO20" s="945"/>
      <c r="HP20" s="945"/>
      <c r="HQ20" s="945"/>
      <c r="HR20" s="945"/>
      <c r="HS20" s="945"/>
      <c r="HT20" s="945"/>
      <c r="HU20" s="945"/>
      <c r="HV20" s="945"/>
      <c r="HW20" s="945"/>
      <c r="HX20" s="945"/>
      <c r="HY20" s="945"/>
      <c r="HZ20" s="945"/>
      <c r="IA20" s="945"/>
      <c r="IB20" s="945"/>
      <c r="IC20" s="945"/>
      <c r="ID20" s="945"/>
      <c r="IE20" s="945"/>
      <c r="IF20" s="945"/>
      <c r="IG20" s="945"/>
      <c r="IH20" s="945"/>
      <c r="II20" s="945"/>
      <c r="IJ20" s="945"/>
      <c r="IK20" s="945"/>
      <c r="IL20" s="945"/>
      <c r="IM20" s="945"/>
      <c r="IN20" s="945"/>
      <c r="IO20" s="945"/>
      <c r="IP20" s="945"/>
      <c r="IQ20" s="945"/>
      <c r="IR20" s="945"/>
      <c r="IS20" s="945"/>
      <c r="IT20" s="945"/>
      <c r="IU20" s="945"/>
      <c r="IV20" s="945"/>
      <c r="IW20" s="945"/>
      <c r="IX20" s="945"/>
      <c r="IY20" s="945"/>
      <c r="IZ20" s="945"/>
      <c r="JA20" s="945"/>
      <c r="JB20" s="945"/>
      <c r="JC20" s="945"/>
      <c r="JD20" s="945"/>
      <c r="JE20" s="945"/>
      <c r="JF20" s="945"/>
      <c r="JG20" s="945"/>
      <c r="JH20" s="945"/>
      <c r="JI20" s="945"/>
      <c r="JJ20" s="945"/>
      <c r="JK20" s="945"/>
      <c r="JL20" s="945"/>
      <c r="JM20" s="945"/>
      <c r="JN20" s="945"/>
      <c r="JO20" s="945"/>
      <c r="JP20" s="945"/>
      <c r="JQ20" s="945"/>
      <c r="JR20" s="945"/>
      <c r="JS20" s="945"/>
      <c r="JT20" s="945"/>
      <c r="JU20" s="945"/>
      <c r="JV20" s="945"/>
      <c r="JW20" s="945"/>
      <c r="JX20" s="945"/>
      <c r="JY20" s="945"/>
      <c r="JZ20" s="945"/>
      <c r="KA20" s="945"/>
      <c r="KB20" s="945"/>
      <c r="KC20" s="945"/>
      <c r="KD20" s="945"/>
      <c r="KE20" s="945"/>
      <c r="KF20" s="945"/>
      <c r="KG20" s="945"/>
      <c r="KH20" s="945"/>
      <c r="KI20" s="945"/>
      <c r="KJ20" s="945"/>
      <c r="KK20" s="945"/>
      <c r="KL20" s="945"/>
      <c r="KM20" s="945"/>
      <c r="KN20" s="945"/>
      <c r="KO20" s="945"/>
      <c r="KP20" s="945"/>
      <c r="KQ20" s="945"/>
      <c r="KR20" s="945"/>
      <c r="KS20" s="945"/>
      <c r="KT20" s="945"/>
      <c r="KU20" s="945"/>
      <c r="KV20" s="945"/>
      <c r="KW20" s="945"/>
      <c r="KX20" s="945"/>
      <c r="KY20" s="945"/>
      <c r="KZ20" s="945"/>
      <c r="LA20" s="945"/>
      <c r="LB20" s="945"/>
      <c r="LC20" s="945"/>
      <c r="LD20" s="945"/>
      <c r="LE20" s="945"/>
      <c r="LF20" s="945"/>
      <c r="LG20" s="945"/>
      <c r="LH20" s="945"/>
      <c r="LI20" s="945"/>
      <c r="LJ20" s="945"/>
      <c r="LK20" s="945"/>
      <c r="LL20" s="945"/>
      <c r="LM20" s="945"/>
      <c r="LN20" s="945"/>
      <c r="LO20" s="945"/>
      <c r="LP20" s="945"/>
      <c r="LQ20" s="945"/>
      <c r="LR20" s="945"/>
      <c r="LS20" s="945"/>
      <c r="LT20" s="945"/>
      <c r="LU20" s="945"/>
      <c r="LV20" s="945"/>
      <c r="LW20" s="945"/>
      <c r="LX20" s="945"/>
      <c r="LY20" s="945"/>
      <c r="LZ20" s="945"/>
      <c r="MA20" s="945"/>
      <c r="MB20" s="945"/>
      <c r="MC20" s="945"/>
      <c r="MD20" s="945"/>
      <c r="ME20" s="945"/>
      <c r="MF20" s="945"/>
      <c r="MG20" s="945"/>
      <c r="MH20" s="945"/>
      <c r="MI20" s="945"/>
      <c r="MJ20" s="945"/>
      <c r="MK20" s="945"/>
      <c r="ML20" s="945"/>
      <c r="MM20" s="945"/>
      <c r="MN20" s="945"/>
      <c r="MO20" s="945"/>
      <c r="MP20" s="945"/>
      <c r="MQ20" s="945"/>
      <c r="MR20" s="945"/>
      <c r="MS20" s="945"/>
      <c r="MT20" s="945"/>
      <c r="MU20" s="945"/>
      <c r="MV20" s="945"/>
      <c r="MW20" s="945"/>
      <c r="MX20" s="945"/>
      <c r="MY20" s="945"/>
      <c r="MZ20" s="945"/>
      <c r="NA20" s="945"/>
      <c r="NB20" s="945"/>
      <c r="NC20" s="945"/>
      <c r="ND20" s="945"/>
      <c r="NE20" s="945"/>
      <c r="NF20" s="945"/>
      <c r="NG20" s="945"/>
      <c r="NH20" s="945"/>
      <c r="NI20" s="945"/>
      <c r="NJ20" s="945"/>
      <c r="NK20" s="945"/>
      <c r="NL20" s="945"/>
      <c r="NM20" s="945"/>
      <c r="NN20" s="945"/>
      <c r="NO20" s="945"/>
      <c r="NP20" s="945"/>
      <c r="NQ20" s="945"/>
      <c r="NR20" s="945"/>
      <c r="NS20" s="945"/>
      <c r="NT20" s="945"/>
      <c r="NU20" s="945"/>
      <c r="NV20" s="945"/>
      <c r="NW20" s="945"/>
      <c r="NX20" s="945"/>
      <c r="NY20" s="945"/>
      <c r="NZ20" s="945"/>
      <c r="OA20" s="945"/>
      <c r="OB20" s="945"/>
      <c r="OC20" s="945"/>
      <c r="OD20" s="945"/>
      <c r="OE20" s="945"/>
      <c r="OF20" s="945"/>
      <c r="OG20" s="945"/>
      <c r="OH20" s="945"/>
      <c r="OI20" s="945"/>
      <c r="OJ20" s="945"/>
      <c r="OK20" s="945"/>
      <c r="OL20" s="945"/>
      <c r="OM20" s="945"/>
      <c r="ON20" s="945"/>
      <c r="OO20" s="945"/>
      <c r="OP20" s="945"/>
      <c r="OQ20" s="945"/>
      <c r="OR20" s="945"/>
      <c r="OS20" s="945"/>
      <c r="OT20" s="945"/>
      <c r="OU20" s="945"/>
      <c r="OV20" s="945"/>
      <c r="OW20" s="945"/>
      <c r="OX20" s="945"/>
      <c r="OY20" s="945"/>
      <c r="OZ20" s="945"/>
      <c r="PA20" s="945"/>
      <c r="PB20" s="945"/>
      <c r="PC20" s="945"/>
      <c r="PD20" s="945"/>
      <c r="PE20" s="945"/>
      <c r="PF20" s="945"/>
      <c r="PG20" s="945"/>
      <c r="PH20" s="945"/>
      <c r="PI20" s="945"/>
      <c r="PJ20" s="945"/>
      <c r="PK20" s="945"/>
      <c r="PL20" s="945"/>
      <c r="PM20" s="945"/>
      <c r="PN20" s="945"/>
      <c r="PO20" s="945"/>
    </row>
    <row r="21" spans="1:431" s="165" customFormat="1">
      <c r="A21" s="945"/>
      <c r="B21" s="945"/>
      <c r="C21" s="948"/>
      <c r="D21" s="948"/>
      <c r="E21" s="948"/>
      <c r="F21" s="948"/>
      <c r="G21" s="948"/>
      <c r="H21" s="948"/>
      <c r="I21" s="948"/>
      <c r="J21" s="948"/>
      <c r="K21" s="948"/>
      <c r="L21" s="948"/>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5"/>
      <c r="FY21" s="945"/>
      <c r="FZ21" s="945"/>
      <c r="GA21" s="945"/>
      <c r="GB21" s="945"/>
      <c r="GC21" s="945"/>
      <c r="GD21" s="945"/>
      <c r="GE21" s="945"/>
      <c r="GF21" s="945"/>
      <c r="GG21" s="945"/>
      <c r="GH21" s="945"/>
      <c r="GI21" s="945"/>
      <c r="GJ21" s="945"/>
      <c r="GK21" s="945"/>
      <c r="GL21" s="945"/>
      <c r="GM21" s="945"/>
      <c r="GN21" s="945"/>
      <c r="GO21" s="945"/>
      <c r="GP21" s="945"/>
      <c r="GQ21" s="945"/>
      <c r="GR21" s="945"/>
      <c r="GS21" s="945"/>
      <c r="GT21" s="945"/>
      <c r="GU21" s="945"/>
      <c r="GV21" s="945"/>
      <c r="GW21" s="945"/>
      <c r="GX21" s="945"/>
      <c r="GY21" s="945"/>
      <c r="GZ21" s="945"/>
      <c r="HA21" s="945"/>
      <c r="HB21" s="945"/>
      <c r="HC21" s="945"/>
      <c r="HD21" s="945"/>
      <c r="HE21" s="945"/>
      <c r="HF21" s="945"/>
      <c r="HG21" s="945"/>
      <c r="HH21" s="945"/>
      <c r="HI21" s="945"/>
      <c r="HJ21" s="945"/>
      <c r="HK21" s="945"/>
      <c r="HL21" s="945"/>
      <c r="HM21" s="945"/>
      <c r="HN21" s="945"/>
      <c r="HO21" s="945"/>
      <c r="HP21" s="945"/>
      <c r="HQ21" s="945"/>
      <c r="HR21" s="945"/>
      <c r="HS21" s="945"/>
      <c r="HT21" s="945"/>
      <c r="HU21" s="945"/>
      <c r="HV21" s="945"/>
      <c r="HW21" s="945"/>
      <c r="HX21" s="945"/>
      <c r="HY21" s="945"/>
      <c r="HZ21" s="945"/>
      <c r="IA21" s="945"/>
      <c r="IB21" s="945"/>
      <c r="IC21" s="945"/>
      <c r="ID21" s="945"/>
      <c r="IE21" s="945"/>
      <c r="IF21" s="945"/>
      <c r="IG21" s="945"/>
      <c r="IH21" s="945"/>
      <c r="II21" s="945"/>
      <c r="IJ21" s="945"/>
      <c r="IK21" s="945"/>
      <c r="IL21" s="945"/>
      <c r="IM21" s="945"/>
      <c r="IN21" s="945"/>
      <c r="IO21" s="945"/>
      <c r="IP21" s="945"/>
      <c r="IQ21" s="945"/>
      <c r="IR21" s="945"/>
      <c r="IS21" s="945"/>
      <c r="IT21" s="945"/>
      <c r="IU21" s="945"/>
      <c r="IV21" s="945"/>
      <c r="IW21" s="945"/>
      <c r="IX21" s="945"/>
      <c r="IY21" s="945"/>
      <c r="IZ21" s="945"/>
      <c r="JA21" s="945"/>
      <c r="JB21" s="945"/>
      <c r="JC21" s="945"/>
      <c r="JD21" s="945"/>
      <c r="JE21" s="945"/>
      <c r="JF21" s="945"/>
      <c r="JG21" s="945"/>
      <c r="JH21" s="945"/>
      <c r="JI21" s="945"/>
      <c r="JJ21" s="945"/>
      <c r="JK21" s="945"/>
      <c r="JL21" s="945"/>
      <c r="JM21" s="945"/>
      <c r="JN21" s="945"/>
      <c r="JO21" s="945"/>
      <c r="JP21" s="945"/>
      <c r="JQ21" s="945"/>
      <c r="JR21" s="945"/>
      <c r="JS21" s="945"/>
      <c r="JT21" s="945"/>
      <c r="JU21" s="945"/>
      <c r="JV21" s="945"/>
      <c r="JW21" s="945"/>
      <c r="JX21" s="945"/>
      <c r="JY21" s="945"/>
      <c r="JZ21" s="945"/>
      <c r="KA21" s="945"/>
      <c r="KB21" s="945"/>
      <c r="KC21" s="945"/>
      <c r="KD21" s="945"/>
      <c r="KE21" s="945"/>
      <c r="KF21" s="945"/>
      <c r="KG21" s="945"/>
      <c r="KH21" s="945"/>
      <c r="KI21" s="945"/>
      <c r="KJ21" s="945"/>
      <c r="KK21" s="945"/>
      <c r="KL21" s="945"/>
      <c r="KM21" s="945"/>
      <c r="KN21" s="945"/>
      <c r="KO21" s="945"/>
      <c r="KP21" s="945"/>
      <c r="KQ21" s="945"/>
      <c r="KR21" s="945"/>
      <c r="KS21" s="945"/>
      <c r="KT21" s="945"/>
      <c r="KU21" s="945"/>
      <c r="KV21" s="945"/>
      <c r="KW21" s="945"/>
      <c r="KX21" s="945"/>
      <c r="KY21" s="945"/>
      <c r="KZ21" s="945"/>
      <c r="LA21" s="945"/>
      <c r="LB21" s="945"/>
      <c r="LC21" s="945"/>
      <c r="LD21" s="945"/>
      <c r="LE21" s="945"/>
      <c r="LF21" s="945"/>
      <c r="LG21" s="945"/>
      <c r="LH21" s="945"/>
      <c r="LI21" s="945"/>
      <c r="LJ21" s="945"/>
      <c r="LK21" s="945"/>
      <c r="LL21" s="945"/>
      <c r="LM21" s="945"/>
      <c r="LN21" s="945"/>
      <c r="LO21" s="945"/>
      <c r="LP21" s="945"/>
      <c r="LQ21" s="945"/>
      <c r="LR21" s="945"/>
      <c r="LS21" s="945"/>
      <c r="LT21" s="945"/>
      <c r="LU21" s="945"/>
      <c r="LV21" s="945"/>
      <c r="LW21" s="945"/>
      <c r="LX21" s="945"/>
      <c r="LY21" s="945"/>
      <c r="LZ21" s="945"/>
      <c r="MA21" s="945"/>
      <c r="MB21" s="945"/>
      <c r="MC21" s="945"/>
      <c r="MD21" s="945"/>
      <c r="ME21" s="945"/>
      <c r="MF21" s="945"/>
      <c r="MG21" s="945"/>
      <c r="MH21" s="945"/>
      <c r="MI21" s="945"/>
      <c r="MJ21" s="945"/>
      <c r="MK21" s="945"/>
      <c r="ML21" s="945"/>
      <c r="MM21" s="945"/>
      <c r="MN21" s="945"/>
      <c r="MO21" s="945"/>
      <c r="MP21" s="945"/>
      <c r="MQ21" s="945"/>
      <c r="MR21" s="945"/>
      <c r="MS21" s="945"/>
      <c r="MT21" s="945"/>
      <c r="MU21" s="945"/>
      <c r="MV21" s="945"/>
      <c r="MW21" s="945"/>
      <c r="MX21" s="945"/>
      <c r="MY21" s="945"/>
      <c r="MZ21" s="945"/>
      <c r="NA21" s="945"/>
      <c r="NB21" s="945"/>
      <c r="NC21" s="945"/>
      <c r="ND21" s="945"/>
      <c r="NE21" s="945"/>
      <c r="NF21" s="945"/>
      <c r="NG21" s="945"/>
      <c r="NH21" s="945"/>
      <c r="NI21" s="945"/>
      <c r="NJ21" s="945"/>
      <c r="NK21" s="945"/>
      <c r="NL21" s="945"/>
      <c r="NM21" s="945"/>
      <c r="NN21" s="945"/>
      <c r="NO21" s="945"/>
      <c r="NP21" s="945"/>
      <c r="NQ21" s="945"/>
      <c r="NR21" s="945"/>
      <c r="NS21" s="945"/>
      <c r="NT21" s="945"/>
      <c r="NU21" s="945"/>
      <c r="NV21" s="945"/>
      <c r="NW21" s="945"/>
      <c r="NX21" s="945"/>
      <c r="NY21" s="945"/>
      <c r="NZ21" s="945"/>
      <c r="OA21" s="945"/>
      <c r="OB21" s="945"/>
      <c r="OC21" s="945"/>
      <c r="OD21" s="945"/>
      <c r="OE21" s="945"/>
      <c r="OF21" s="945"/>
      <c r="OG21" s="945"/>
      <c r="OH21" s="945"/>
      <c r="OI21" s="945"/>
      <c r="OJ21" s="945"/>
      <c r="OK21" s="945"/>
      <c r="OL21" s="945"/>
      <c r="OM21" s="945"/>
      <c r="ON21" s="945"/>
      <c r="OO21" s="945"/>
      <c r="OP21" s="945"/>
      <c r="OQ21" s="945"/>
      <c r="OR21" s="945"/>
      <c r="OS21" s="945"/>
      <c r="OT21" s="945"/>
      <c r="OU21" s="945"/>
      <c r="OV21" s="945"/>
      <c r="OW21" s="945"/>
      <c r="OX21" s="945"/>
      <c r="OY21" s="945"/>
      <c r="OZ21" s="945"/>
      <c r="PA21" s="945"/>
      <c r="PB21" s="945"/>
      <c r="PC21" s="945"/>
      <c r="PD21" s="945"/>
      <c r="PE21" s="945"/>
      <c r="PF21" s="945"/>
      <c r="PG21" s="945"/>
      <c r="PH21" s="945"/>
      <c r="PI21" s="945"/>
      <c r="PJ21" s="945"/>
      <c r="PK21" s="945"/>
      <c r="PL21" s="945"/>
      <c r="PM21" s="945"/>
      <c r="PN21" s="945"/>
      <c r="PO21" s="945"/>
    </row>
    <row r="22" spans="1:431" s="165" customFormat="1">
      <c r="A22" s="945"/>
      <c r="B22" s="945"/>
      <c r="C22" s="948"/>
      <c r="D22" s="948"/>
      <c r="E22" s="948"/>
      <c r="F22" s="948"/>
      <c r="G22" s="948"/>
      <c r="H22" s="948"/>
      <c r="I22" s="948"/>
      <c r="J22" s="948"/>
      <c r="K22" s="948"/>
      <c r="L22" s="948"/>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5"/>
      <c r="AY22" s="945"/>
      <c r="AZ22" s="945"/>
      <c r="BA22" s="945"/>
      <c r="BB22" s="945"/>
      <c r="BC22" s="945"/>
      <c r="BD22" s="945"/>
      <c r="BE22" s="945"/>
      <c r="BF22" s="945"/>
      <c r="BG22" s="945"/>
      <c r="BH22" s="945"/>
      <c r="BI22" s="945"/>
      <c r="BJ22" s="945"/>
      <c r="BK22" s="945"/>
      <c r="BL22" s="945"/>
      <c r="BM22" s="945"/>
      <c r="BN22" s="945"/>
      <c r="BO22" s="945"/>
      <c r="BP22" s="945"/>
      <c r="BQ22" s="945"/>
      <c r="BR22" s="945"/>
      <c r="BS22" s="945"/>
      <c r="BT22" s="945"/>
      <c r="BU22" s="945"/>
      <c r="BV22" s="945"/>
      <c r="BW22" s="945"/>
      <c r="BX22" s="945"/>
      <c r="BY22" s="945"/>
      <c r="BZ22" s="945"/>
      <c r="CA22" s="945"/>
      <c r="CB22" s="945"/>
      <c r="CC22" s="945"/>
      <c r="CD22" s="945"/>
      <c r="CE22" s="945"/>
      <c r="CF22" s="945"/>
      <c r="CG22" s="945"/>
      <c r="CH22" s="945"/>
      <c r="CI22" s="945"/>
      <c r="CJ22" s="945"/>
      <c r="CK22" s="945"/>
      <c r="CL22" s="945"/>
      <c r="CM22" s="945"/>
      <c r="CN22" s="945"/>
      <c r="CO22" s="945"/>
      <c r="CP22" s="945"/>
      <c r="CQ22" s="945"/>
      <c r="CR22" s="945"/>
      <c r="CS22" s="945"/>
      <c r="CT22" s="945"/>
      <c r="CU22" s="945"/>
      <c r="CV22" s="945"/>
      <c r="CW22" s="945"/>
      <c r="CX22" s="945"/>
      <c r="CY22" s="945"/>
      <c r="CZ22" s="945"/>
      <c r="DA22" s="945"/>
      <c r="DB22" s="945"/>
      <c r="DC22" s="945"/>
      <c r="DD22" s="945"/>
      <c r="DE22" s="945"/>
      <c r="DF22" s="945"/>
      <c r="DG22" s="945"/>
      <c r="DH22" s="945"/>
      <c r="DI22" s="945"/>
      <c r="DJ22" s="945"/>
      <c r="DK22" s="945"/>
      <c r="DL22" s="945"/>
      <c r="DM22" s="945"/>
      <c r="DN22" s="945"/>
      <c r="DO22" s="945"/>
      <c r="DP22" s="945"/>
      <c r="DQ22" s="945"/>
      <c r="DR22" s="945"/>
      <c r="DS22" s="945"/>
      <c r="DT22" s="945"/>
      <c r="DU22" s="945"/>
      <c r="DV22" s="945"/>
      <c r="DW22" s="945"/>
      <c r="DX22" s="945"/>
      <c r="DY22" s="945"/>
      <c r="DZ22" s="945"/>
      <c r="EA22" s="945"/>
      <c r="EB22" s="945"/>
      <c r="EC22" s="945"/>
      <c r="ED22" s="945"/>
      <c r="EE22" s="945"/>
      <c r="EF22" s="945"/>
      <c r="EG22" s="945"/>
      <c r="EH22" s="945"/>
      <c r="EI22" s="945"/>
      <c r="EJ22" s="945"/>
      <c r="EK22" s="945"/>
      <c r="EL22" s="945"/>
      <c r="EM22" s="945"/>
      <c r="EN22" s="945"/>
      <c r="EO22" s="945"/>
      <c r="EP22" s="945"/>
      <c r="EQ22" s="945"/>
      <c r="ER22" s="945"/>
      <c r="ES22" s="945"/>
      <c r="ET22" s="945"/>
      <c r="EU22" s="945"/>
      <c r="EV22" s="945"/>
      <c r="EW22" s="945"/>
      <c r="EX22" s="945"/>
      <c r="EY22" s="945"/>
      <c r="EZ22" s="945"/>
      <c r="FA22" s="945"/>
      <c r="FB22" s="945"/>
      <c r="FC22" s="945"/>
      <c r="FD22" s="945"/>
      <c r="FE22" s="945"/>
      <c r="FF22" s="945"/>
      <c r="FG22" s="945"/>
      <c r="FH22" s="945"/>
      <c r="FI22" s="945"/>
      <c r="FJ22" s="945"/>
      <c r="FK22" s="945"/>
      <c r="FL22" s="945"/>
      <c r="FM22" s="945"/>
      <c r="FN22" s="945"/>
      <c r="FO22" s="945"/>
      <c r="FP22" s="945"/>
      <c r="FQ22" s="945"/>
      <c r="FR22" s="945"/>
      <c r="FS22" s="945"/>
      <c r="FT22" s="945"/>
      <c r="FU22" s="945"/>
      <c r="FV22" s="945"/>
      <c r="FW22" s="945"/>
      <c r="FX22" s="945"/>
      <c r="FY22" s="945"/>
      <c r="FZ22" s="945"/>
      <c r="GA22" s="945"/>
      <c r="GB22" s="945"/>
      <c r="GC22" s="945"/>
      <c r="GD22" s="945"/>
      <c r="GE22" s="945"/>
      <c r="GF22" s="945"/>
      <c r="GG22" s="945"/>
      <c r="GH22" s="945"/>
      <c r="GI22" s="945"/>
      <c r="GJ22" s="945"/>
      <c r="GK22" s="945"/>
      <c r="GL22" s="945"/>
      <c r="GM22" s="945"/>
      <c r="GN22" s="945"/>
      <c r="GO22" s="945"/>
      <c r="GP22" s="945"/>
      <c r="GQ22" s="945"/>
      <c r="GR22" s="945"/>
      <c r="GS22" s="945"/>
      <c r="GT22" s="945"/>
      <c r="GU22" s="945"/>
      <c r="GV22" s="945"/>
      <c r="GW22" s="945"/>
      <c r="GX22" s="945"/>
      <c r="GY22" s="945"/>
      <c r="GZ22" s="945"/>
      <c r="HA22" s="945"/>
      <c r="HB22" s="945"/>
      <c r="HC22" s="945"/>
      <c r="HD22" s="945"/>
      <c r="HE22" s="945"/>
      <c r="HF22" s="945"/>
      <c r="HG22" s="945"/>
      <c r="HH22" s="945"/>
      <c r="HI22" s="945"/>
      <c r="HJ22" s="945"/>
      <c r="HK22" s="945"/>
      <c r="HL22" s="945"/>
      <c r="HM22" s="945"/>
      <c r="HN22" s="945"/>
      <c r="HO22" s="945"/>
      <c r="HP22" s="945"/>
      <c r="HQ22" s="945"/>
      <c r="HR22" s="945"/>
      <c r="HS22" s="945"/>
      <c r="HT22" s="945"/>
      <c r="HU22" s="945"/>
      <c r="HV22" s="945"/>
      <c r="HW22" s="945"/>
      <c r="HX22" s="945"/>
      <c r="HY22" s="945"/>
      <c r="HZ22" s="945"/>
      <c r="IA22" s="945"/>
      <c r="IB22" s="945"/>
      <c r="IC22" s="945"/>
      <c r="ID22" s="945"/>
      <c r="IE22" s="945"/>
      <c r="IF22" s="945"/>
      <c r="IG22" s="945"/>
      <c r="IH22" s="945"/>
      <c r="II22" s="945"/>
      <c r="IJ22" s="945"/>
      <c r="IK22" s="945"/>
      <c r="IL22" s="945"/>
      <c r="IM22" s="945"/>
      <c r="IN22" s="945"/>
      <c r="IO22" s="945"/>
      <c r="IP22" s="945"/>
      <c r="IQ22" s="945"/>
      <c r="IR22" s="945"/>
      <c r="IS22" s="945"/>
      <c r="IT22" s="945"/>
      <c r="IU22" s="945"/>
      <c r="IV22" s="945"/>
      <c r="IW22" s="945"/>
      <c r="IX22" s="945"/>
      <c r="IY22" s="945"/>
      <c r="IZ22" s="945"/>
      <c r="JA22" s="945"/>
      <c r="JB22" s="945"/>
      <c r="JC22" s="945"/>
      <c r="JD22" s="945"/>
      <c r="JE22" s="945"/>
      <c r="JF22" s="945"/>
      <c r="JG22" s="945"/>
      <c r="JH22" s="945"/>
      <c r="JI22" s="945"/>
      <c r="JJ22" s="945"/>
      <c r="JK22" s="945"/>
      <c r="JL22" s="945"/>
      <c r="JM22" s="945"/>
      <c r="JN22" s="945"/>
      <c r="JO22" s="945"/>
      <c r="JP22" s="945"/>
      <c r="JQ22" s="945"/>
      <c r="JR22" s="945"/>
      <c r="JS22" s="945"/>
      <c r="JT22" s="945"/>
      <c r="JU22" s="945"/>
      <c r="JV22" s="945"/>
      <c r="JW22" s="945"/>
      <c r="JX22" s="945"/>
      <c r="JY22" s="945"/>
      <c r="JZ22" s="945"/>
      <c r="KA22" s="945"/>
      <c r="KB22" s="945"/>
      <c r="KC22" s="945"/>
      <c r="KD22" s="945"/>
      <c r="KE22" s="945"/>
      <c r="KF22" s="945"/>
      <c r="KG22" s="945"/>
      <c r="KH22" s="945"/>
      <c r="KI22" s="945"/>
      <c r="KJ22" s="945"/>
      <c r="KK22" s="945"/>
      <c r="KL22" s="945"/>
      <c r="KM22" s="945"/>
      <c r="KN22" s="945"/>
      <c r="KO22" s="945"/>
      <c r="KP22" s="945"/>
      <c r="KQ22" s="945"/>
      <c r="KR22" s="945"/>
      <c r="KS22" s="945"/>
      <c r="KT22" s="945"/>
      <c r="KU22" s="945"/>
      <c r="KV22" s="945"/>
      <c r="KW22" s="945"/>
      <c r="KX22" s="945"/>
      <c r="KY22" s="945"/>
      <c r="KZ22" s="945"/>
      <c r="LA22" s="945"/>
      <c r="LB22" s="945"/>
      <c r="LC22" s="945"/>
      <c r="LD22" s="945"/>
      <c r="LE22" s="945"/>
      <c r="LF22" s="945"/>
      <c r="LG22" s="945"/>
      <c r="LH22" s="945"/>
      <c r="LI22" s="945"/>
      <c r="LJ22" s="945"/>
      <c r="LK22" s="945"/>
      <c r="LL22" s="945"/>
      <c r="LM22" s="945"/>
      <c r="LN22" s="945"/>
      <c r="LO22" s="945"/>
      <c r="LP22" s="945"/>
      <c r="LQ22" s="945"/>
      <c r="LR22" s="945"/>
      <c r="LS22" s="945"/>
      <c r="LT22" s="945"/>
      <c r="LU22" s="945"/>
      <c r="LV22" s="945"/>
      <c r="LW22" s="945"/>
      <c r="LX22" s="945"/>
      <c r="LY22" s="945"/>
      <c r="LZ22" s="945"/>
      <c r="MA22" s="945"/>
      <c r="MB22" s="945"/>
      <c r="MC22" s="945"/>
      <c r="MD22" s="945"/>
      <c r="ME22" s="945"/>
      <c r="MF22" s="945"/>
      <c r="MG22" s="945"/>
      <c r="MH22" s="945"/>
      <c r="MI22" s="945"/>
      <c r="MJ22" s="945"/>
      <c r="MK22" s="945"/>
      <c r="ML22" s="945"/>
      <c r="MM22" s="945"/>
      <c r="MN22" s="945"/>
      <c r="MO22" s="945"/>
      <c r="MP22" s="945"/>
      <c r="MQ22" s="945"/>
      <c r="MR22" s="945"/>
      <c r="MS22" s="945"/>
      <c r="MT22" s="945"/>
      <c r="MU22" s="945"/>
      <c r="MV22" s="945"/>
      <c r="MW22" s="945"/>
      <c r="MX22" s="945"/>
      <c r="MY22" s="945"/>
      <c r="MZ22" s="945"/>
      <c r="NA22" s="945"/>
      <c r="NB22" s="945"/>
      <c r="NC22" s="945"/>
      <c r="ND22" s="945"/>
      <c r="NE22" s="945"/>
      <c r="NF22" s="945"/>
      <c r="NG22" s="945"/>
      <c r="NH22" s="945"/>
      <c r="NI22" s="945"/>
      <c r="NJ22" s="945"/>
      <c r="NK22" s="945"/>
      <c r="NL22" s="945"/>
      <c r="NM22" s="945"/>
      <c r="NN22" s="945"/>
      <c r="NO22" s="945"/>
      <c r="NP22" s="945"/>
      <c r="NQ22" s="945"/>
      <c r="NR22" s="945"/>
      <c r="NS22" s="945"/>
      <c r="NT22" s="945"/>
      <c r="NU22" s="945"/>
      <c r="NV22" s="945"/>
      <c r="NW22" s="945"/>
      <c r="NX22" s="945"/>
      <c r="NY22" s="945"/>
      <c r="NZ22" s="945"/>
      <c r="OA22" s="945"/>
      <c r="OB22" s="945"/>
      <c r="OC22" s="945"/>
      <c r="OD22" s="945"/>
      <c r="OE22" s="945"/>
      <c r="OF22" s="945"/>
      <c r="OG22" s="945"/>
      <c r="OH22" s="945"/>
      <c r="OI22" s="945"/>
      <c r="OJ22" s="945"/>
      <c r="OK22" s="945"/>
      <c r="OL22" s="945"/>
      <c r="OM22" s="945"/>
      <c r="ON22" s="945"/>
      <c r="OO22" s="945"/>
      <c r="OP22" s="945"/>
      <c r="OQ22" s="945"/>
      <c r="OR22" s="945"/>
      <c r="OS22" s="945"/>
      <c r="OT22" s="945"/>
      <c r="OU22" s="945"/>
      <c r="OV22" s="945"/>
      <c r="OW22" s="945"/>
      <c r="OX22" s="945"/>
      <c r="OY22" s="945"/>
      <c r="OZ22" s="945"/>
      <c r="PA22" s="945"/>
      <c r="PB22" s="945"/>
      <c r="PC22" s="945"/>
      <c r="PD22" s="945"/>
      <c r="PE22" s="945"/>
      <c r="PF22" s="945"/>
      <c r="PG22" s="945"/>
      <c r="PH22" s="945"/>
      <c r="PI22" s="945"/>
      <c r="PJ22" s="945"/>
      <c r="PK22" s="945"/>
      <c r="PL22" s="945"/>
      <c r="PM22" s="945"/>
      <c r="PN22" s="945"/>
      <c r="PO22" s="945"/>
    </row>
    <row r="23" spans="1:431" s="165" customFormat="1">
      <c r="A23" s="945"/>
      <c r="B23" s="945"/>
      <c r="C23" s="948"/>
      <c r="D23" s="948"/>
      <c r="E23" s="948"/>
      <c r="F23" s="948"/>
      <c r="G23" s="948"/>
      <c r="H23" s="948"/>
      <c r="I23" s="948"/>
      <c r="J23" s="948"/>
      <c r="K23" s="948"/>
      <c r="L23" s="948"/>
      <c r="M23" s="945"/>
      <c r="N23" s="945"/>
      <c r="O23" s="945"/>
      <c r="P23" s="945"/>
      <c r="Q23" s="945"/>
      <c r="R23" s="945"/>
      <c r="S23" s="945"/>
      <c r="T23" s="945"/>
      <c r="U23" s="945"/>
      <c r="V23" s="945"/>
      <c r="W23" s="945"/>
      <c r="X23" s="945"/>
      <c r="Y23" s="945"/>
      <c r="Z23" s="945"/>
      <c r="AA23" s="945"/>
      <c r="AB23" s="945"/>
      <c r="AC23" s="945"/>
      <c r="AD23" s="945"/>
      <c r="AE23" s="945"/>
      <c r="AF23" s="945"/>
      <c r="AG23" s="945"/>
      <c r="AH23" s="945"/>
      <c r="AI23" s="945"/>
      <c r="AJ23" s="945"/>
      <c r="AK23" s="945"/>
      <c r="AL23" s="945"/>
      <c r="AM23" s="945"/>
      <c r="AN23" s="945"/>
      <c r="AO23" s="945"/>
      <c r="AP23" s="945"/>
      <c r="AQ23" s="945"/>
      <c r="AR23" s="945"/>
      <c r="AS23" s="945"/>
      <c r="AT23" s="945"/>
      <c r="AU23" s="945"/>
      <c r="AV23" s="945"/>
      <c r="AW23" s="945"/>
      <c r="AX23" s="945"/>
      <c r="AY23" s="945"/>
      <c r="AZ23" s="945"/>
      <c r="BA23" s="945"/>
      <c r="BB23" s="945"/>
      <c r="BC23" s="945"/>
      <c r="BD23" s="945"/>
      <c r="BE23" s="945"/>
      <c r="BF23" s="945"/>
      <c r="BG23" s="945"/>
      <c r="BH23" s="945"/>
      <c r="BI23" s="945"/>
      <c r="BJ23" s="945"/>
      <c r="BK23" s="945"/>
      <c r="BL23" s="945"/>
      <c r="BM23" s="945"/>
      <c r="BN23" s="945"/>
      <c r="BO23" s="945"/>
      <c r="BP23" s="945"/>
      <c r="BQ23" s="945"/>
      <c r="BR23" s="945"/>
      <c r="BS23" s="945"/>
      <c r="BT23" s="945"/>
      <c r="BU23" s="945"/>
      <c r="BV23" s="945"/>
      <c r="BW23" s="945"/>
      <c r="BX23" s="945"/>
      <c r="BY23" s="945"/>
      <c r="BZ23" s="945"/>
      <c r="CA23" s="945"/>
      <c r="CB23" s="945"/>
      <c r="CC23" s="945"/>
      <c r="CD23" s="945"/>
      <c r="CE23" s="945"/>
      <c r="CF23" s="945"/>
      <c r="CG23" s="945"/>
      <c r="CH23" s="945"/>
      <c r="CI23" s="945"/>
      <c r="CJ23" s="945"/>
      <c r="CK23" s="945"/>
      <c r="CL23" s="945"/>
      <c r="CM23" s="945"/>
      <c r="CN23" s="945"/>
      <c r="CO23" s="945"/>
      <c r="CP23" s="945"/>
      <c r="CQ23" s="945"/>
      <c r="CR23" s="945"/>
      <c r="CS23" s="945"/>
      <c r="CT23" s="945"/>
      <c r="CU23" s="945"/>
      <c r="CV23" s="945"/>
      <c r="CW23" s="945"/>
      <c r="CX23" s="945"/>
      <c r="CY23" s="945"/>
      <c r="CZ23" s="945"/>
      <c r="DA23" s="945"/>
      <c r="DB23" s="945"/>
      <c r="DC23" s="945"/>
      <c r="DD23" s="945"/>
      <c r="DE23" s="945"/>
      <c r="DF23" s="945"/>
      <c r="DG23" s="945"/>
      <c r="DH23" s="945"/>
      <c r="DI23" s="945"/>
      <c r="DJ23" s="945"/>
      <c r="DK23" s="945"/>
      <c r="DL23" s="945"/>
      <c r="DM23" s="945"/>
      <c r="DN23" s="945"/>
      <c r="DO23" s="945"/>
      <c r="DP23" s="945"/>
      <c r="DQ23" s="945"/>
      <c r="DR23" s="945"/>
      <c r="DS23" s="945"/>
      <c r="DT23" s="945"/>
      <c r="DU23" s="945"/>
      <c r="DV23" s="945"/>
      <c r="DW23" s="945"/>
      <c r="DX23" s="945"/>
      <c r="DY23" s="945"/>
      <c r="DZ23" s="945"/>
      <c r="EA23" s="945"/>
      <c r="EB23" s="945"/>
      <c r="EC23" s="945"/>
      <c r="ED23" s="945"/>
      <c r="EE23" s="945"/>
      <c r="EF23" s="945"/>
      <c r="EG23" s="945"/>
      <c r="EH23" s="945"/>
      <c r="EI23" s="945"/>
      <c r="EJ23" s="945"/>
      <c r="EK23" s="945"/>
      <c r="EL23" s="945"/>
      <c r="EM23" s="945"/>
      <c r="EN23" s="945"/>
      <c r="EO23" s="945"/>
      <c r="EP23" s="945"/>
      <c r="EQ23" s="945"/>
      <c r="ER23" s="945"/>
      <c r="ES23" s="945"/>
      <c r="ET23" s="945"/>
      <c r="EU23" s="945"/>
      <c r="EV23" s="945"/>
      <c r="EW23" s="945"/>
      <c r="EX23" s="945"/>
      <c r="EY23" s="945"/>
      <c r="EZ23" s="945"/>
      <c r="FA23" s="945"/>
      <c r="FB23" s="945"/>
      <c r="FC23" s="945"/>
      <c r="FD23" s="945"/>
      <c r="FE23" s="945"/>
      <c r="FF23" s="945"/>
      <c r="FG23" s="945"/>
      <c r="FH23" s="945"/>
      <c r="FI23" s="945"/>
      <c r="FJ23" s="945"/>
      <c r="FK23" s="945"/>
      <c r="FL23" s="945"/>
      <c r="FM23" s="945"/>
      <c r="FN23" s="945"/>
      <c r="FO23" s="945"/>
      <c r="FP23" s="945"/>
      <c r="FQ23" s="945"/>
      <c r="FR23" s="945"/>
      <c r="FS23" s="945"/>
      <c r="FT23" s="945"/>
      <c r="FU23" s="945"/>
      <c r="FV23" s="945"/>
      <c r="FW23" s="945"/>
      <c r="FX23" s="945"/>
      <c r="FY23" s="945"/>
      <c r="FZ23" s="945"/>
      <c r="GA23" s="945"/>
      <c r="GB23" s="945"/>
      <c r="GC23" s="945"/>
      <c r="GD23" s="945"/>
      <c r="GE23" s="945"/>
      <c r="GF23" s="945"/>
      <c r="GG23" s="945"/>
      <c r="GH23" s="945"/>
      <c r="GI23" s="945"/>
      <c r="GJ23" s="945"/>
      <c r="GK23" s="945"/>
      <c r="GL23" s="945"/>
      <c r="GM23" s="945"/>
      <c r="GN23" s="945"/>
      <c r="GO23" s="945"/>
      <c r="GP23" s="945"/>
      <c r="GQ23" s="945"/>
      <c r="GR23" s="945"/>
      <c r="GS23" s="945"/>
      <c r="GT23" s="945"/>
      <c r="GU23" s="945"/>
      <c r="GV23" s="945"/>
      <c r="GW23" s="945"/>
      <c r="GX23" s="945"/>
      <c r="GY23" s="945"/>
      <c r="GZ23" s="945"/>
      <c r="HA23" s="945"/>
      <c r="HB23" s="945"/>
      <c r="HC23" s="945"/>
      <c r="HD23" s="945"/>
      <c r="HE23" s="945"/>
      <c r="HF23" s="945"/>
      <c r="HG23" s="945"/>
      <c r="HH23" s="945"/>
      <c r="HI23" s="945"/>
      <c r="HJ23" s="945"/>
      <c r="HK23" s="945"/>
      <c r="HL23" s="945"/>
      <c r="HM23" s="945"/>
      <c r="HN23" s="945"/>
      <c r="HO23" s="945"/>
      <c r="HP23" s="945"/>
      <c r="HQ23" s="945"/>
      <c r="HR23" s="945"/>
      <c r="HS23" s="945"/>
      <c r="HT23" s="945"/>
      <c r="HU23" s="945"/>
      <c r="HV23" s="945"/>
      <c r="HW23" s="945"/>
      <c r="HX23" s="945"/>
      <c r="HY23" s="945"/>
      <c r="HZ23" s="945"/>
      <c r="IA23" s="945"/>
      <c r="IB23" s="945"/>
      <c r="IC23" s="945"/>
      <c r="ID23" s="945"/>
      <c r="IE23" s="945"/>
      <c r="IF23" s="945"/>
      <c r="IG23" s="945"/>
      <c r="IH23" s="945"/>
      <c r="II23" s="945"/>
      <c r="IJ23" s="945"/>
      <c r="IK23" s="945"/>
      <c r="IL23" s="945"/>
      <c r="IM23" s="945"/>
      <c r="IN23" s="945"/>
      <c r="IO23" s="945"/>
      <c r="IP23" s="945"/>
      <c r="IQ23" s="945"/>
      <c r="IR23" s="945"/>
      <c r="IS23" s="945"/>
      <c r="IT23" s="945"/>
      <c r="IU23" s="945"/>
      <c r="IV23" s="945"/>
      <c r="IW23" s="945"/>
      <c r="IX23" s="945"/>
      <c r="IY23" s="945"/>
      <c r="IZ23" s="945"/>
      <c r="JA23" s="945"/>
      <c r="JB23" s="945"/>
      <c r="JC23" s="945"/>
      <c r="JD23" s="945"/>
      <c r="JE23" s="945"/>
      <c r="JF23" s="945"/>
      <c r="JG23" s="945"/>
      <c r="JH23" s="945"/>
      <c r="JI23" s="945"/>
      <c r="JJ23" s="945"/>
      <c r="JK23" s="945"/>
      <c r="JL23" s="945"/>
      <c r="JM23" s="945"/>
      <c r="JN23" s="945"/>
      <c r="JO23" s="945"/>
      <c r="JP23" s="945"/>
      <c r="JQ23" s="945"/>
      <c r="JR23" s="945"/>
      <c r="JS23" s="945"/>
      <c r="JT23" s="945"/>
      <c r="JU23" s="945"/>
      <c r="JV23" s="945"/>
      <c r="JW23" s="945"/>
      <c r="JX23" s="945"/>
      <c r="JY23" s="945"/>
      <c r="JZ23" s="945"/>
      <c r="KA23" s="945"/>
      <c r="KB23" s="945"/>
      <c r="KC23" s="945"/>
      <c r="KD23" s="945"/>
      <c r="KE23" s="945"/>
      <c r="KF23" s="945"/>
      <c r="KG23" s="945"/>
      <c r="KH23" s="945"/>
      <c r="KI23" s="945"/>
      <c r="KJ23" s="945"/>
      <c r="KK23" s="945"/>
      <c r="KL23" s="945"/>
      <c r="KM23" s="945"/>
      <c r="KN23" s="945"/>
      <c r="KO23" s="945"/>
      <c r="KP23" s="945"/>
      <c r="KQ23" s="945"/>
      <c r="KR23" s="945"/>
      <c r="KS23" s="945"/>
      <c r="KT23" s="945"/>
      <c r="KU23" s="945"/>
      <c r="KV23" s="945"/>
      <c r="KW23" s="945"/>
      <c r="KX23" s="945"/>
      <c r="KY23" s="945"/>
      <c r="KZ23" s="945"/>
      <c r="LA23" s="945"/>
      <c r="LB23" s="945"/>
      <c r="LC23" s="945"/>
      <c r="LD23" s="945"/>
      <c r="LE23" s="945"/>
      <c r="LF23" s="945"/>
      <c r="LG23" s="945"/>
      <c r="LH23" s="945"/>
      <c r="LI23" s="945"/>
      <c r="LJ23" s="945"/>
      <c r="LK23" s="945"/>
      <c r="LL23" s="945"/>
      <c r="LM23" s="945"/>
      <c r="LN23" s="945"/>
      <c r="LO23" s="945"/>
      <c r="LP23" s="945"/>
      <c r="LQ23" s="945"/>
      <c r="LR23" s="945"/>
      <c r="LS23" s="945"/>
      <c r="LT23" s="945"/>
      <c r="LU23" s="945"/>
      <c r="LV23" s="945"/>
      <c r="LW23" s="945"/>
      <c r="LX23" s="945"/>
      <c r="LY23" s="945"/>
      <c r="LZ23" s="945"/>
      <c r="MA23" s="945"/>
      <c r="MB23" s="945"/>
      <c r="MC23" s="945"/>
      <c r="MD23" s="945"/>
      <c r="ME23" s="945"/>
      <c r="MF23" s="945"/>
      <c r="MG23" s="945"/>
      <c r="MH23" s="945"/>
      <c r="MI23" s="945"/>
      <c r="MJ23" s="945"/>
      <c r="MK23" s="945"/>
      <c r="ML23" s="945"/>
      <c r="MM23" s="945"/>
      <c r="MN23" s="945"/>
      <c r="MO23" s="945"/>
      <c r="MP23" s="945"/>
      <c r="MQ23" s="945"/>
      <c r="MR23" s="945"/>
      <c r="MS23" s="945"/>
      <c r="MT23" s="945"/>
      <c r="MU23" s="945"/>
      <c r="MV23" s="945"/>
      <c r="MW23" s="945"/>
      <c r="MX23" s="945"/>
      <c r="MY23" s="945"/>
      <c r="MZ23" s="945"/>
      <c r="NA23" s="945"/>
      <c r="NB23" s="945"/>
      <c r="NC23" s="945"/>
      <c r="ND23" s="945"/>
      <c r="NE23" s="945"/>
      <c r="NF23" s="945"/>
      <c r="NG23" s="945"/>
      <c r="NH23" s="945"/>
      <c r="NI23" s="945"/>
      <c r="NJ23" s="945"/>
      <c r="NK23" s="945"/>
      <c r="NL23" s="945"/>
      <c r="NM23" s="945"/>
      <c r="NN23" s="945"/>
      <c r="NO23" s="945"/>
      <c r="NP23" s="945"/>
      <c r="NQ23" s="945"/>
      <c r="NR23" s="945"/>
      <c r="NS23" s="945"/>
      <c r="NT23" s="945"/>
      <c r="NU23" s="945"/>
      <c r="NV23" s="945"/>
      <c r="NW23" s="945"/>
      <c r="NX23" s="945"/>
      <c r="NY23" s="945"/>
      <c r="NZ23" s="945"/>
      <c r="OA23" s="945"/>
      <c r="OB23" s="945"/>
      <c r="OC23" s="945"/>
      <c r="OD23" s="945"/>
      <c r="OE23" s="945"/>
      <c r="OF23" s="945"/>
      <c r="OG23" s="945"/>
      <c r="OH23" s="945"/>
      <c r="OI23" s="945"/>
      <c r="OJ23" s="945"/>
      <c r="OK23" s="945"/>
      <c r="OL23" s="945"/>
      <c r="OM23" s="945"/>
      <c r="ON23" s="945"/>
      <c r="OO23" s="945"/>
      <c r="OP23" s="945"/>
      <c r="OQ23" s="945"/>
      <c r="OR23" s="945"/>
      <c r="OS23" s="945"/>
      <c r="OT23" s="945"/>
      <c r="OU23" s="945"/>
      <c r="OV23" s="945"/>
      <c r="OW23" s="945"/>
      <c r="OX23" s="945"/>
      <c r="OY23" s="945"/>
      <c r="OZ23" s="945"/>
      <c r="PA23" s="945"/>
      <c r="PB23" s="945"/>
      <c r="PC23" s="945"/>
      <c r="PD23" s="945"/>
      <c r="PE23" s="945"/>
      <c r="PF23" s="945"/>
      <c r="PG23" s="945"/>
      <c r="PH23" s="945"/>
      <c r="PI23" s="945"/>
      <c r="PJ23" s="945"/>
      <c r="PK23" s="945"/>
      <c r="PL23" s="945"/>
      <c r="PM23" s="945"/>
      <c r="PN23" s="945"/>
      <c r="PO23" s="945"/>
    </row>
    <row r="24" spans="1:431" s="165" customFormat="1">
      <c r="A24" s="945"/>
      <c r="B24" s="945"/>
      <c r="C24" s="948"/>
      <c r="D24" s="948"/>
      <c r="E24" s="948"/>
      <c r="F24" s="948"/>
      <c r="G24" s="948"/>
      <c r="H24" s="948"/>
      <c r="I24" s="948"/>
      <c r="J24" s="948"/>
      <c r="K24" s="948"/>
      <c r="L24" s="948"/>
      <c r="M24" s="945"/>
      <c r="N24" s="945"/>
      <c r="O24" s="945"/>
      <c r="P24" s="945"/>
      <c r="Q24" s="945"/>
      <c r="R24" s="945"/>
      <c r="S24" s="945"/>
      <c r="T24" s="945"/>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5"/>
      <c r="FY24" s="945"/>
      <c r="FZ24" s="945"/>
      <c r="GA24" s="945"/>
      <c r="GB24" s="945"/>
      <c r="GC24" s="945"/>
      <c r="GD24" s="945"/>
      <c r="GE24" s="945"/>
      <c r="GF24" s="945"/>
      <c r="GG24" s="945"/>
      <c r="GH24" s="945"/>
      <c r="GI24" s="945"/>
      <c r="GJ24" s="945"/>
      <c r="GK24" s="945"/>
      <c r="GL24" s="945"/>
      <c r="GM24" s="945"/>
      <c r="GN24" s="945"/>
      <c r="GO24" s="945"/>
      <c r="GP24" s="945"/>
      <c r="GQ24" s="945"/>
      <c r="GR24" s="945"/>
      <c r="GS24" s="945"/>
      <c r="GT24" s="945"/>
      <c r="GU24" s="945"/>
      <c r="GV24" s="945"/>
      <c r="GW24" s="945"/>
      <c r="GX24" s="945"/>
      <c r="GY24" s="945"/>
      <c r="GZ24" s="945"/>
      <c r="HA24" s="945"/>
      <c r="HB24" s="945"/>
      <c r="HC24" s="945"/>
      <c r="HD24" s="945"/>
      <c r="HE24" s="945"/>
      <c r="HF24" s="945"/>
      <c r="HG24" s="945"/>
      <c r="HH24" s="945"/>
      <c r="HI24" s="945"/>
      <c r="HJ24" s="945"/>
      <c r="HK24" s="945"/>
      <c r="HL24" s="945"/>
      <c r="HM24" s="945"/>
      <c r="HN24" s="945"/>
      <c r="HO24" s="945"/>
      <c r="HP24" s="945"/>
      <c r="HQ24" s="945"/>
      <c r="HR24" s="945"/>
      <c r="HS24" s="945"/>
      <c r="HT24" s="945"/>
      <c r="HU24" s="945"/>
      <c r="HV24" s="945"/>
      <c r="HW24" s="945"/>
      <c r="HX24" s="945"/>
      <c r="HY24" s="945"/>
      <c r="HZ24" s="945"/>
      <c r="IA24" s="945"/>
      <c r="IB24" s="945"/>
      <c r="IC24" s="945"/>
      <c r="ID24" s="945"/>
      <c r="IE24" s="945"/>
      <c r="IF24" s="945"/>
      <c r="IG24" s="945"/>
      <c r="IH24" s="945"/>
      <c r="II24" s="945"/>
      <c r="IJ24" s="945"/>
      <c r="IK24" s="945"/>
      <c r="IL24" s="945"/>
      <c r="IM24" s="945"/>
      <c r="IN24" s="945"/>
      <c r="IO24" s="945"/>
      <c r="IP24" s="945"/>
      <c r="IQ24" s="945"/>
      <c r="IR24" s="945"/>
      <c r="IS24" s="945"/>
      <c r="IT24" s="945"/>
      <c r="IU24" s="945"/>
      <c r="IV24" s="945"/>
      <c r="IW24" s="945"/>
      <c r="IX24" s="945"/>
      <c r="IY24" s="945"/>
      <c r="IZ24" s="945"/>
      <c r="JA24" s="945"/>
      <c r="JB24" s="945"/>
      <c r="JC24" s="945"/>
      <c r="JD24" s="945"/>
      <c r="JE24" s="945"/>
      <c r="JF24" s="945"/>
      <c r="JG24" s="945"/>
      <c r="JH24" s="945"/>
      <c r="JI24" s="945"/>
      <c r="JJ24" s="945"/>
      <c r="JK24" s="945"/>
      <c r="JL24" s="945"/>
      <c r="JM24" s="945"/>
      <c r="JN24" s="945"/>
      <c r="JO24" s="945"/>
      <c r="JP24" s="945"/>
      <c r="JQ24" s="945"/>
      <c r="JR24" s="945"/>
      <c r="JS24" s="945"/>
      <c r="JT24" s="945"/>
      <c r="JU24" s="945"/>
      <c r="JV24" s="945"/>
      <c r="JW24" s="945"/>
      <c r="JX24" s="945"/>
      <c r="JY24" s="945"/>
      <c r="JZ24" s="945"/>
      <c r="KA24" s="945"/>
      <c r="KB24" s="945"/>
      <c r="KC24" s="945"/>
      <c r="KD24" s="945"/>
      <c r="KE24" s="945"/>
      <c r="KF24" s="945"/>
      <c r="KG24" s="945"/>
      <c r="KH24" s="945"/>
      <c r="KI24" s="945"/>
      <c r="KJ24" s="945"/>
      <c r="KK24" s="945"/>
      <c r="KL24" s="945"/>
      <c r="KM24" s="945"/>
      <c r="KN24" s="945"/>
      <c r="KO24" s="945"/>
      <c r="KP24" s="945"/>
      <c r="KQ24" s="945"/>
      <c r="KR24" s="945"/>
      <c r="KS24" s="945"/>
      <c r="KT24" s="945"/>
      <c r="KU24" s="945"/>
      <c r="KV24" s="945"/>
      <c r="KW24" s="945"/>
      <c r="KX24" s="945"/>
      <c r="KY24" s="945"/>
      <c r="KZ24" s="945"/>
      <c r="LA24" s="945"/>
      <c r="LB24" s="945"/>
      <c r="LC24" s="945"/>
      <c r="LD24" s="945"/>
      <c r="LE24" s="945"/>
      <c r="LF24" s="945"/>
      <c r="LG24" s="945"/>
      <c r="LH24" s="945"/>
      <c r="LI24" s="945"/>
      <c r="LJ24" s="945"/>
      <c r="LK24" s="945"/>
      <c r="LL24" s="945"/>
      <c r="LM24" s="945"/>
      <c r="LN24" s="945"/>
      <c r="LO24" s="945"/>
      <c r="LP24" s="945"/>
      <c r="LQ24" s="945"/>
      <c r="LR24" s="945"/>
      <c r="LS24" s="945"/>
      <c r="LT24" s="945"/>
      <c r="LU24" s="945"/>
      <c r="LV24" s="945"/>
      <c r="LW24" s="945"/>
      <c r="LX24" s="945"/>
      <c r="LY24" s="945"/>
      <c r="LZ24" s="945"/>
      <c r="MA24" s="945"/>
      <c r="MB24" s="945"/>
      <c r="MC24" s="945"/>
      <c r="MD24" s="945"/>
      <c r="ME24" s="945"/>
      <c r="MF24" s="945"/>
      <c r="MG24" s="945"/>
      <c r="MH24" s="945"/>
      <c r="MI24" s="945"/>
      <c r="MJ24" s="945"/>
      <c r="MK24" s="945"/>
      <c r="ML24" s="945"/>
      <c r="MM24" s="945"/>
      <c r="MN24" s="945"/>
      <c r="MO24" s="945"/>
      <c r="MP24" s="945"/>
      <c r="MQ24" s="945"/>
      <c r="MR24" s="945"/>
      <c r="MS24" s="945"/>
      <c r="MT24" s="945"/>
      <c r="MU24" s="945"/>
      <c r="MV24" s="945"/>
      <c r="MW24" s="945"/>
      <c r="MX24" s="945"/>
      <c r="MY24" s="945"/>
      <c r="MZ24" s="945"/>
      <c r="NA24" s="945"/>
      <c r="NB24" s="945"/>
      <c r="NC24" s="945"/>
      <c r="ND24" s="945"/>
      <c r="NE24" s="945"/>
      <c r="NF24" s="945"/>
      <c r="NG24" s="945"/>
      <c r="NH24" s="945"/>
      <c r="NI24" s="945"/>
      <c r="NJ24" s="945"/>
      <c r="NK24" s="945"/>
      <c r="NL24" s="945"/>
      <c r="NM24" s="945"/>
      <c r="NN24" s="945"/>
      <c r="NO24" s="945"/>
      <c r="NP24" s="945"/>
      <c r="NQ24" s="945"/>
      <c r="NR24" s="945"/>
      <c r="NS24" s="945"/>
      <c r="NT24" s="945"/>
      <c r="NU24" s="945"/>
      <c r="NV24" s="945"/>
      <c r="NW24" s="945"/>
      <c r="NX24" s="945"/>
      <c r="NY24" s="945"/>
      <c r="NZ24" s="945"/>
      <c r="OA24" s="945"/>
      <c r="OB24" s="945"/>
      <c r="OC24" s="945"/>
      <c r="OD24" s="945"/>
      <c r="OE24" s="945"/>
      <c r="OF24" s="945"/>
      <c r="OG24" s="945"/>
      <c r="OH24" s="945"/>
      <c r="OI24" s="945"/>
      <c r="OJ24" s="945"/>
      <c r="OK24" s="945"/>
      <c r="OL24" s="945"/>
      <c r="OM24" s="945"/>
      <c r="ON24" s="945"/>
      <c r="OO24" s="945"/>
      <c r="OP24" s="945"/>
      <c r="OQ24" s="945"/>
      <c r="OR24" s="945"/>
      <c r="OS24" s="945"/>
      <c r="OT24" s="945"/>
      <c r="OU24" s="945"/>
      <c r="OV24" s="945"/>
      <c r="OW24" s="945"/>
      <c r="OX24" s="945"/>
      <c r="OY24" s="945"/>
      <c r="OZ24" s="945"/>
      <c r="PA24" s="945"/>
      <c r="PB24" s="945"/>
      <c r="PC24" s="945"/>
      <c r="PD24" s="945"/>
      <c r="PE24" s="945"/>
      <c r="PF24" s="945"/>
      <c r="PG24" s="945"/>
      <c r="PH24" s="945"/>
      <c r="PI24" s="945"/>
      <c r="PJ24" s="945"/>
      <c r="PK24" s="945"/>
      <c r="PL24" s="945"/>
      <c r="PM24" s="945"/>
      <c r="PN24" s="945"/>
      <c r="PO24" s="945"/>
    </row>
    <row r="25" spans="1:431" s="165" customFormat="1">
      <c r="A25" s="945"/>
      <c r="B25" s="945"/>
      <c r="C25" s="948"/>
      <c r="D25" s="948"/>
      <c r="E25" s="948"/>
      <c r="F25" s="948"/>
      <c r="G25" s="948"/>
      <c r="H25" s="948"/>
      <c r="I25" s="948"/>
      <c r="J25" s="948"/>
      <c r="K25" s="948"/>
      <c r="L25" s="948"/>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5"/>
      <c r="AQ25" s="945"/>
      <c r="AR25" s="945"/>
      <c r="AS25" s="945"/>
      <c r="AT25" s="945"/>
      <c r="AU25" s="945"/>
      <c r="AV25" s="945"/>
      <c r="AW25" s="945"/>
      <c r="AX25" s="945"/>
      <c r="AY25" s="945"/>
      <c r="AZ25" s="945"/>
      <c r="BA25" s="945"/>
      <c r="BB25" s="945"/>
      <c r="BC25" s="945"/>
      <c r="BD25" s="945"/>
      <c r="BE25" s="945"/>
      <c r="BF25" s="945"/>
      <c r="BG25" s="945"/>
      <c r="BH25" s="945"/>
      <c r="BI25" s="945"/>
      <c r="BJ25" s="945"/>
      <c r="BK25" s="945"/>
      <c r="BL25" s="945"/>
      <c r="BM25" s="945"/>
      <c r="BN25" s="945"/>
      <c r="BO25" s="945"/>
      <c r="BP25" s="945"/>
      <c r="BQ25" s="945"/>
      <c r="BR25" s="945"/>
      <c r="BS25" s="945"/>
      <c r="BT25" s="945"/>
      <c r="BU25" s="945"/>
      <c r="BV25" s="945"/>
      <c r="BW25" s="945"/>
      <c r="BX25" s="945"/>
      <c r="BY25" s="945"/>
      <c r="BZ25" s="945"/>
      <c r="CA25" s="945"/>
      <c r="CB25" s="945"/>
      <c r="CC25" s="945"/>
      <c r="CD25" s="945"/>
      <c r="CE25" s="945"/>
      <c r="CF25" s="945"/>
      <c r="CG25" s="945"/>
      <c r="CH25" s="945"/>
      <c r="CI25" s="945"/>
      <c r="CJ25" s="945"/>
      <c r="CK25" s="945"/>
      <c r="CL25" s="945"/>
      <c r="CM25" s="945"/>
      <c r="CN25" s="945"/>
      <c r="CO25" s="945"/>
      <c r="CP25" s="945"/>
      <c r="CQ25" s="945"/>
      <c r="CR25" s="945"/>
      <c r="CS25" s="945"/>
      <c r="CT25" s="945"/>
      <c r="CU25" s="945"/>
      <c r="CV25" s="945"/>
      <c r="CW25" s="945"/>
      <c r="CX25" s="945"/>
      <c r="CY25" s="945"/>
      <c r="CZ25" s="945"/>
      <c r="DA25" s="945"/>
      <c r="DB25" s="945"/>
      <c r="DC25" s="945"/>
      <c r="DD25" s="945"/>
      <c r="DE25" s="945"/>
      <c r="DF25" s="945"/>
      <c r="DG25" s="945"/>
      <c r="DH25" s="945"/>
      <c r="DI25" s="945"/>
      <c r="DJ25" s="945"/>
      <c r="DK25" s="945"/>
      <c r="DL25" s="945"/>
      <c r="DM25" s="945"/>
      <c r="DN25" s="945"/>
      <c r="DO25" s="945"/>
      <c r="DP25" s="945"/>
      <c r="DQ25" s="945"/>
      <c r="DR25" s="945"/>
      <c r="DS25" s="945"/>
      <c r="DT25" s="945"/>
      <c r="DU25" s="945"/>
      <c r="DV25" s="945"/>
      <c r="DW25" s="945"/>
      <c r="DX25" s="945"/>
      <c r="DY25" s="945"/>
      <c r="DZ25" s="945"/>
      <c r="EA25" s="945"/>
      <c r="EB25" s="945"/>
      <c r="EC25" s="945"/>
      <c r="ED25" s="945"/>
      <c r="EE25" s="945"/>
      <c r="EF25" s="945"/>
      <c r="EG25" s="945"/>
      <c r="EH25" s="945"/>
      <c r="EI25" s="945"/>
      <c r="EJ25" s="945"/>
      <c r="EK25" s="945"/>
      <c r="EL25" s="945"/>
      <c r="EM25" s="945"/>
      <c r="EN25" s="945"/>
      <c r="EO25" s="945"/>
      <c r="EP25" s="945"/>
      <c r="EQ25" s="945"/>
      <c r="ER25" s="945"/>
      <c r="ES25" s="945"/>
      <c r="ET25" s="945"/>
      <c r="EU25" s="945"/>
      <c r="EV25" s="945"/>
      <c r="EW25" s="945"/>
      <c r="EX25" s="945"/>
      <c r="EY25" s="945"/>
      <c r="EZ25" s="945"/>
      <c r="FA25" s="945"/>
      <c r="FB25" s="945"/>
      <c r="FC25" s="945"/>
      <c r="FD25" s="945"/>
      <c r="FE25" s="945"/>
      <c r="FF25" s="945"/>
      <c r="FG25" s="945"/>
      <c r="FH25" s="945"/>
      <c r="FI25" s="945"/>
      <c r="FJ25" s="945"/>
      <c r="FK25" s="945"/>
      <c r="FL25" s="945"/>
      <c r="FM25" s="945"/>
      <c r="FN25" s="945"/>
      <c r="FO25" s="945"/>
      <c r="FP25" s="945"/>
      <c r="FQ25" s="945"/>
      <c r="FR25" s="945"/>
      <c r="FS25" s="945"/>
      <c r="FT25" s="945"/>
      <c r="FU25" s="945"/>
      <c r="FV25" s="945"/>
      <c r="FW25" s="945"/>
      <c r="FX25" s="945"/>
      <c r="FY25" s="945"/>
      <c r="FZ25" s="945"/>
      <c r="GA25" s="945"/>
      <c r="GB25" s="945"/>
      <c r="GC25" s="945"/>
      <c r="GD25" s="945"/>
      <c r="GE25" s="945"/>
      <c r="GF25" s="945"/>
      <c r="GG25" s="945"/>
      <c r="GH25" s="945"/>
      <c r="GI25" s="945"/>
      <c r="GJ25" s="945"/>
      <c r="GK25" s="945"/>
      <c r="GL25" s="945"/>
      <c r="GM25" s="945"/>
      <c r="GN25" s="945"/>
      <c r="GO25" s="945"/>
      <c r="GP25" s="945"/>
      <c r="GQ25" s="945"/>
      <c r="GR25" s="945"/>
      <c r="GS25" s="945"/>
      <c r="GT25" s="945"/>
      <c r="GU25" s="945"/>
      <c r="GV25" s="945"/>
      <c r="GW25" s="945"/>
      <c r="GX25" s="945"/>
      <c r="GY25" s="945"/>
      <c r="GZ25" s="945"/>
      <c r="HA25" s="945"/>
      <c r="HB25" s="945"/>
      <c r="HC25" s="945"/>
      <c r="HD25" s="945"/>
      <c r="HE25" s="945"/>
      <c r="HF25" s="945"/>
      <c r="HG25" s="945"/>
      <c r="HH25" s="945"/>
      <c r="HI25" s="945"/>
      <c r="HJ25" s="945"/>
      <c r="HK25" s="945"/>
      <c r="HL25" s="945"/>
      <c r="HM25" s="945"/>
      <c r="HN25" s="945"/>
      <c r="HO25" s="945"/>
      <c r="HP25" s="945"/>
      <c r="HQ25" s="945"/>
      <c r="HR25" s="945"/>
      <c r="HS25" s="945"/>
      <c r="HT25" s="945"/>
      <c r="HU25" s="945"/>
      <c r="HV25" s="945"/>
      <c r="HW25" s="945"/>
      <c r="HX25" s="945"/>
      <c r="HY25" s="945"/>
      <c r="HZ25" s="945"/>
      <c r="IA25" s="945"/>
      <c r="IB25" s="945"/>
      <c r="IC25" s="945"/>
      <c r="ID25" s="945"/>
      <c r="IE25" s="945"/>
      <c r="IF25" s="945"/>
      <c r="IG25" s="945"/>
      <c r="IH25" s="945"/>
      <c r="II25" s="945"/>
      <c r="IJ25" s="945"/>
      <c r="IK25" s="945"/>
      <c r="IL25" s="945"/>
      <c r="IM25" s="945"/>
      <c r="IN25" s="945"/>
      <c r="IO25" s="945"/>
      <c r="IP25" s="945"/>
      <c r="IQ25" s="945"/>
      <c r="IR25" s="945"/>
      <c r="IS25" s="945"/>
      <c r="IT25" s="945"/>
      <c r="IU25" s="945"/>
      <c r="IV25" s="945"/>
      <c r="IW25" s="945"/>
      <c r="IX25" s="945"/>
      <c r="IY25" s="945"/>
      <c r="IZ25" s="945"/>
      <c r="JA25" s="945"/>
      <c r="JB25" s="945"/>
      <c r="JC25" s="945"/>
      <c r="JD25" s="945"/>
      <c r="JE25" s="945"/>
      <c r="JF25" s="945"/>
      <c r="JG25" s="945"/>
      <c r="JH25" s="945"/>
      <c r="JI25" s="945"/>
      <c r="JJ25" s="945"/>
      <c r="JK25" s="945"/>
      <c r="JL25" s="945"/>
      <c r="JM25" s="945"/>
      <c r="JN25" s="945"/>
      <c r="JO25" s="945"/>
      <c r="JP25" s="945"/>
      <c r="JQ25" s="945"/>
      <c r="JR25" s="945"/>
      <c r="JS25" s="945"/>
      <c r="JT25" s="945"/>
      <c r="JU25" s="945"/>
      <c r="JV25" s="945"/>
      <c r="JW25" s="945"/>
      <c r="JX25" s="945"/>
      <c r="JY25" s="945"/>
      <c r="JZ25" s="945"/>
      <c r="KA25" s="945"/>
      <c r="KB25" s="945"/>
      <c r="KC25" s="945"/>
      <c r="KD25" s="945"/>
      <c r="KE25" s="945"/>
      <c r="KF25" s="945"/>
      <c r="KG25" s="945"/>
      <c r="KH25" s="945"/>
      <c r="KI25" s="945"/>
      <c r="KJ25" s="945"/>
      <c r="KK25" s="945"/>
      <c r="KL25" s="945"/>
      <c r="KM25" s="945"/>
      <c r="KN25" s="945"/>
      <c r="KO25" s="945"/>
      <c r="KP25" s="945"/>
      <c r="KQ25" s="945"/>
      <c r="KR25" s="945"/>
      <c r="KS25" s="945"/>
      <c r="KT25" s="945"/>
      <c r="KU25" s="945"/>
      <c r="KV25" s="945"/>
      <c r="KW25" s="945"/>
      <c r="KX25" s="945"/>
      <c r="KY25" s="945"/>
      <c r="KZ25" s="945"/>
      <c r="LA25" s="945"/>
      <c r="LB25" s="945"/>
      <c r="LC25" s="945"/>
      <c r="LD25" s="945"/>
      <c r="LE25" s="945"/>
      <c r="LF25" s="945"/>
      <c r="LG25" s="945"/>
      <c r="LH25" s="945"/>
      <c r="LI25" s="945"/>
      <c r="LJ25" s="945"/>
      <c r="LK25" s="945"/>
      <c r="LL25" s="945"/>
      <c r="LM25" s="945"/>
      <c r="LN25" s="945"/>
      <c r="LO25" s="945"/>
      <c r="LP25" s="945"/>
      <c r="LQ25" s="945"/>
      <c r="LR25" s="945"/>
      <c r="LS25" s="945"/>
      <c r="LT25" s="945"/>
      <c r="LU25" s="945"/>
      <c r="LV25" s="945"/>
      <c r="LW25" s="945"/>
      <c r="LX25" s="945"/>
      <c r="LY25" s="945"/>
      <c r="LZ25" s="945"/>
      <c r="MA25" s="945"/>
      <c r="MB25" s="945"/>
      <c r="MC25" s="945"/>
      <c r="MD25" s="945"/>
      <c r="ME25" s="945"/>
      <c r="MF25" s="945"/>
      <c r="MG25" s="945"/>
      <c r="MH25" s="945"/>
      <c r="MI25" s="945"/>
      <c r="MJ25" s="945"/>
      <c r="MK25" s="945"/>
      <c r="ML25" s="945"/>
      <c r="MM25" s="945"/>
      <c r="MN25" s="945"/>
      <c r="MO25" s="945"/>
      <c r="MP25" s="945"/>
      <c r="MQ25" s="945"/>
      <c r="MR25" s="945"/>
      <c r="MS25" s="945"/>
      <c r="MT25" s="945"/>
      <c r="MU25" s="945"/>
      <c r="MV25" s="945"/>
      <c r="MW25" s="945"/>
      <c r="MX25" s="945"/>
      <c r="MY25" s="945"/>
      <c r="MZ25" s="945"/>
      <c r="NA25" s="945"/>
      <c r="NB25" s="945"/>
      <c r="NC25" s="945"/>
      <c r="ND25" s="945"/>
      <c r="NE25" s="945"/>
      <c r="NF25" s="945"/>
      <c r="NG25" s="945"/>
      <c r="NH25" s="945"/>
      <c r="NI25" s="945"/>
      <c r="NJ25" s="945"/>
      <c r="NK25" s="945"/>
      <c r="NL25" s="945"/>
      <c r="NM25" s="945"/>
      <c r="NN25" s="945"/>
      <c r="NO25" s="945"/>
      <c r="NP25" s="945"/>
      <c r="NQ25" s="945"/>
      <c r="NR25" s="945"/>
      <c r="NS25" s="945"/>
      <c r="NT25" s="945"/>
      <c r="NU25" s="945"/>
      <c r="NV25" s="945"/>
      <c r="NW25" s="945"/>
      <c r="NX25" s="945"/>
      <c r="NY25" s="945"/>
      <c r="NZ25" s="945"/>
      <c r="OA25" s="945"/>
      <c r="OB25" s="945"/>
      <c r="OC25" s="945"/>
      <c r="OD25" s="945"/>
      <c r="OE25" s="945"/>
      <c r="OF25" s="945"/>
      <c r="OG25" s="945"/>
      <c r="OH25" s="945"/>
      <c r="OI25" s="945"/>
      <c r="OJ25" s="945"/>
      <c r="OK25" s="945"/>
      <c r="OL25" s="945"/>
      <c r="OM25" s="945"/>
      <c r="ON25" s="945"/>
      <c r="OO25" s="945"/>
      <c r="OP25" s="945"/>
      <c r="OQ25" s="945"/>
      <c r="OR25" s="945"/>
      <c r="OS25" s="945"/>
      <c r="OT25" s="945"/>
      <c r="OU25" s="945"/>
      <c r="OV25" s="945"/>
      <c r="OW25" s="945"/>
      <c r="OX25" s="945"/>
      <c r="OY25" s="945"/>
      <c r="OZ25" s="945"/>
      <c r="PA25" s="945"/>
      <c r="PB25" s="945"/>
      <c r="PC25" s="945"/>
      <c r="PD25" s="945"/>
      <c r="PE25" s="945"/>
      <c r="PF25" s="945"/>
      <c r="PG25" s="945"/>
      <c r="PH25" s="945"/>
      <c r="PI25" s="945"/>
      <c r="PJ25" s="945"/>
      <c r="PK25" s="945"/>
      <c r="PL25" s="945"/>
      <c r="PM25" s="945"/>
      <c r="PN25" s="945"/>
      <c r="PO25" s="945"/>
    </row>
    <row r="26" spans="1:431" s="165" customFormat="1">
      <c r="A26" s="945"/>
      <c r="B26" s="945"/>
      <c r="C26" s="948"/>
      <c r="D26" s="948"/>
      <c r="E26" s="948"/>
      <c r="F26" s="948"/>
      <c r="G26" s="948"/>
      <c r="H26" s="948"/>
      <c r="I26" s="948"/>
      <c r="J26" s="948"/>
      <c r="K26" s="948"/>
      <c r="L26" s="948"/>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945"/>
      <c r="AM26" s="945"/>
      <c r="AN26" s="945"/>
      <c r="AO26" s="945"/>
      <c r="AP26" s="945"/>
      <c r="AQ26" s="945"/>
      <c r="AR26" s="945"/>
      <c r="AS26" s="945"/>
      <c r="AT26" s="945"/>
      <c r="AU26" s="945"/>
      <c r="AV26" s="945"/>
      <c r="AW26" s="945"/>
      <c r="AX26" s="945"/>
      <c r="AY26" s="945"/>
      <c r="AZ26" s="945"/>
      <c r="BA26" s="945"/>
      <c r="BB26" s="945"/>
      <c r="BC26" s="945"/>
      <c r="BD26" s="945"/>
      <c r="BE26" s="945"/>
      <c r="BF26" s="945"/>
      <c r="BG26" s="945"/>
      <c r="BH26" s="945"/>
      <c r="BI26" s="945"/>
      <c r="BJ26" s="945"/>
      <c r="BK26" s="945"/>
      <c r="BL26" s="945"/>
      <c r="BM26" s="945"/>
      <c r="BN26" s="945"/>
      <c r="BO26" s="945"/>
      <c r="BP26" s="945"/>
      <c r="BQ26" s="945"/>
      <c r="BR26" s="945"/>
      <c r="BS26" s="945"/>
      <c r="BT26" s="945"/>
      <c r="BU26" s="945"/>
      <c r="BV26" s="945"/>
      <c r="BW26" s="945"/>
      <c r="BX26" s="945"/>
      <c r="BY26" s="945"/>
      <c r="BZ26" s="945"/>
      <c r="CA26" s="945"/>
      <c r="CB26" s="945"/>
      <c r="CC26" s="945"/>
      <c r="CD26" s="945"/>
      <c r="CE26" s="945"/>
      <c r="CF26" s="945"/>
      <c r="CG26" s="945"/>
      <c r="CH26" s="945"/>
      <c r="CI26" s="945"/>
      <c r="CJ26" s="945"/>
      <c r="CK26" s="945"/>
      <c r="CL26" s="945"/>
      <c r="CM26" s="945"/>
      <c r="CN26" s="945"/>
      <c r="CO26" s="945"/>
      <c r="CP26" s="945"/>
      <c r="CQ26" s="945"/>
      <c r="CR26" s="945"/>
      <c r="CS26" s="945"/>
      <c r="CT26" s="945"/>
      <c r="CU26" s="945"/>
      <c r="CV26" s="945"/>
      <c r="CW26" s="945"/>
      <c r="CX26" s="945"/>
      <c r="CY26" s="945"/>
      <c r="CZ26" s="945"/>
      <c r="DA26" s="945"/>
      <c r="DB26" s="945"/>
      <c r="DC26" s="945"/>
      <c r="DD26" s="945"/>
      <c r="DE26" s="945"/>
      <c r="DF26" s="945"/>
      <c r="DG26" s="945"/>
      <c r="DH26" s="945"/>
      <c r="DI26" s="945"/>
      <c r="DJ26" s="945"/>
      <c r="DK26" s="945"/>
      <c r="DL26" s="945"/>
      <c r="DM26" s="945"/>
      <c r="DN26" s="945"/>
      <c r="DO26" s="945"/>
      <c r="DP26" s="945"/>
      <c r="DQ26" s="945"/>
      <c r="DR26" s="945"/>
      <c r="DS26" s="945"/>
      <c r="DT26" s="945"/>
      <c r="DU26" s="945"/>
      <c r="DV26" s="945"/>
      <c r="DW26" s="945"/>
      <c r="DX26" s="945"/>
      <c r="DY26" s="945"/>
      <c r="DZ26" s="945"/>
      <c r="EA26" s="945"/>
      <c r="EB26" s="945"/>
      <c r="EC26" s="945"/>
      <c r="ED26" s="945"/>
      <c r="EE26" s="945"/>
      <c r="EF26" s="945"/>
      <c r="EG26" s="945"/>
      <c r="EH26" s="945"/>
      <c r="EI26" s="945"/>
      <c r="EJ26" s="945"/>
      <c r="EK26" s="945"/>
      <c r="EL26" s="945"/>
      <c r="EM26" s="945"/>
      <c r="EN26" s="945"/>
      <c r="EO26" s="945"/>
      <c r="EP26" s="945"/>
      <c r="EQ26" s="945"/>
      <c r="ER26" s="945"/>
      <c r="ES26" s="945"/>
      <c r="ET26" s="945"/>
      <c r="EU26" s="945"/>
      <c r="EV26" s="945"/>
      <c r="EW26" s="945"/>
      <c r="EX26" s="945"/>
      <c r="EY26" s="945"/>
      <c r="EZ26" s="945"/>
      <c r="FA26" s="945"/>
      <c r="FB26" s="945"/>
      <c r="FC26" s="945"/>
      <c r="FD26" s="945"/>
      <c r="FE26" s="945"/>
      <c r="FF26" s="945"/>
      <c r="FG26" s="945"/>
      <c r="FH26" s="945"/>
      <c r="FI26" s="945"/>
      <c r="FJ26" s="945"/>
      <c r="FK26" s="945"/>
      <c r="FL26" s="945"/>
      <c r="FM26" s="945"/>
      <c r="FN26" s="945"/>
      <c r="FO26" s="945"/>
      <c r="FP26" s="945"/>
      <c r="FQ26" s="945"/>
      <c r="FR26" s="945"/>
      <c r="FS26" s="945"/>
      <c r="FT26" s="945"/>
      <c r="FU26" s="945"/>
      <c r="FV26" s="945"/>
      <c r="FW26" s="945"/>
      <c r="FX26" s="945"/>
      <c r="FY26" s="945"/>
      <c r="FZ26" s="945"/>
      <c r="GA26" s="945"/>
      <c r="GB26" s="945"/>
      <c r="GC26" s="945"/>
      <c r="GD26" s="945"/>
      <c r="GE26" s="945"/>
      <c r="GF26" s="945"/>
      <c r="GG26" s="945"/>
      <c r="GH26" s="945"/>
      <c r="GI26" s="945"/>
      <c r="GJ26" s="945"/>
      <c r="GK26" s="945"/>
      <c r="GL26" s="945"/>
      <c r="GM26" s="945"/>
      <c r="GN26" s="945"/>
      <c r="GO26" s="945"/>
      <c r="GP26" s="945"/>
      <c r="GQ26" s="945"/>
      <c r="GR26" s="945"/>
      <c r="GS26" s="945"/>
      <c r="GT26" s="945"/>
      <c r="GU26" s="945"/>
      <c r="GV26" s="945"/>
      <c r="GW26" s="945"/>
      <c r="GX26" s="945"/>
      <c r="GY26" s="945"/>
      <c r="GZ26" s="945"/>
      <c r="HA26" s="945"/>
      <c r="HB26" s="945"/>
      <c r="HC26" s="945"/>
      <c r="HD26" s="945"/>
      <c r="HE26" s="945"/>
      <c r="HF26" s="945"/>
      <c r="HG26" s="945"/>
      <c r="HH26" s="945"/>
      <c r="HI26" s="945"/>
      <c r="HJ26" s="945"/>
      <c r="HK26" s="945"/>
      <c r="HL26" s="945"/>
      <c r="HM26" s="945"/>
      <c r="HN26" s="945"/>
      <c r="HO26" s="945"/>
      <c r="HP26" s="945"/>
      <c r="HQ26" s="945"/>
      <c r="HR26" s="945"/>
      <c r="HS26" s="945"/>
      <c r="HT26" s="945"/>
      <c r="HU26" s="945"/>
      <c r="HV26" s="945"/>
      <c r="HW26" s="945"/>
      <c r="HX26" s="945"/>
      <c r="HY26" s="945"/>
      <c r="HZ26" s="945"/>
      <c r="IA26" s="945"/>
      <c r="IB26" s="945"/>
      <c r="IC26" s="945"/>
      <c r="ID26" s="945"/>
      <c r="IE26" s="945"/>
      <c r="IF26" s="945"/>
      <c r="IG26" s="945"/>
      <c r="IH26" s="945"/>
      <c r="II26" s="945"/>
      <c r="IJ26" s="945"/>
      <c r="IK26" s="945"/>
      <c r="IL26" s="945"/>
      <c r="IM26" s="945"/>
      <c r="IN26" s="945"/>
      <c r="IO26" s="945"/>
      <c r="IP26" s="945"/>
      <c r="IQ26" s="945"/>
      <c r="IR26" s="945"/>
      <c r="IS26" s="945"/>
      <c r="IT26" s="945"/>
      <c r="IU26" s="945"/>
      <c r="IV26" s="945"/>
      <c r="IW26" s="945"/>
      <c r="IX26" s="945"/>
      <c r="IY26" s="945"/>
      <c r="IZ26" s="945"/>
      <c r="JA26" s="945"/>
      <c r="JB26" s="945"/>
      <c r="JC26" s="945"/>
      <c r="JD26" s="945"/>
      <c r="JE26" s="945"/>
      <c r="JF26" s="945"/>
      <c r="JG26" s="945"/>
      <c r="JH26" s="945"/>
      <c r="JI26" s="945"/>
      <c r="JJ26" s="945"/>
      <c r="JK26" s="945"/>
      <c r="JL26" s="945"/>
      <c r="JM26" s="945"/>
      <c r="JN26" s="945"/>
      <c r="JO26" s="945"/>
      <c r="JP26" s="945"/>
      <c r="JQ26" s="945"/>
      <c r="JR26" s="945"/>
      <c r="JS26" s="945"/>
      <c r="JT26" s="945"/>
      <c r="JU26" s="945"/>
      <c r="JV26" s="945"/>
      <c r="JW26" s="945"/>
      <c r="JX26" s="945"/>
      <c r="JY26" s="945"/>
      <c r="JZ26" s="945"/>
      <c r="KA26" s="945"/>
      <c r="KB26" s="945"/>
      <c r="KC26" s="945"/>
      <c r="KD26" s="945"/>
      <c r="KE26" s="945"/>
      <c r="KF26" s="945"/>
      <c r="KG26" s="945"/>
      <c r="KH26" s="945"/>
      <c r="KI26" s="945"/>
      <c r="KJ26" s="945"/>
      <c r="KK26" s="945"/>
      <c r="KL26" s="945"/>
      <c r="KM26" s="945"/>
      <c r="KN26" s="945"/>
      <c r="KO26" s="945"/>
      <c r="KP26" s="945"/>
      <c r="KQ26" s="945"/>
      <c r="KR26" s="945"/>
      <c r="KS26" s="945"/>
      <c r="KT26" s="945"/>
      <c r="KU26" s="945"/>
      <c r="KV26" s="945"/>
      <c r="KW26" s="945"/>
      <c r="KX26" s="945"/>
      <c r="KY26" s="945"/>
      <c r="KZ26" s="945"/>
      <c r="LA26" s="945"/>
      <c r="LB26" s="945"/>
      <c r="LC26" s="945"/>
      <c r="LD26" s="945"/>
      <c r="LE26" s="945"/>
      <c r="LF26" s="945"/>
      <c r="LG26" s="945"/>
      <c r="LH26" s="945"/>
      <c r="LI26" s="945"/>
      <c r="LJ26" s="945"/>
      <c r="LK26" s="945"/>
      <c r="LL26" s="945"/>
      <c r="LM26" s="945"/>
      <c r="LN26" s="945"/>
      <c r="LO26" s="945"/>
      <c r="LP26" s="945"/>
      <c r="LQ26" s="945"/>
      <c r="LR26" s="945"/>
      <c r="LS26" s="945"/>
      <c r="LT26" s="945"/>
      <c r="LU26" s="945"/>
      <c r="LV26" s="945"/>
      <c r="LW26" s="945"/>
      <c r="LX26" s="945"/>
      <c r="LY26" s="945"/>
      <c r="LZ26" s="945"/>
      <c r="MA26" s="945"/>
      <c r="MB26" s="945"/>
      <c r="MC26" s="945"/>
      <c r="MD26" s="945"/>
      <c r="ME26" s="945"/>
      <c r="MF26" s="945"/>
      <c r="MG26" s="945"/>
      <c r="MH26" s="945"/>
      <c r="MI26" s="945"/>
      <c r="MJ26" s="945"/>
      <c r="MK26" s="945"/>
      <c r="ML26" s="945"/>
      <c r="MM26" s="945"/>
      <c r="MN26" s="945"/>
      <c r="MO26" s="945"/>
      <c r="MP26" s="945"/>
      <c r="MQ26" s="945"/>
      <c r="MR26" s="945"/>
      <c r="MS26" s="945"/>
      <c r="MT26" s="945"/>
      <c r="MU26" s="945"/>
      <c r="MV26" s="945"/>
      <c r="MW26" s="945"/>
      <c r="MX26" s="945"/>
      <c r="MY26" s="945"/>
      <c r="MZ26" s="945"/>
      <c r="NA26" s="945"/>
      <c r="NB26" s="945"/>
      <c r="NC26" s="945"/>
      <c r="ND26" s="945"/>
      <c r="NE26" s="945"/>
      <c r="NF26" s="945"/>
      <c r="NG26" s="945"/>
      <c r="NH26" s="945"/>
      <c r="NI26" s="945"/>
      <c r="NJ26" s="945"/>
      <c r="NK26" s="945"/>
      <c r="NL26" s="945"/>
      <c r="NM26" s="945"/>
      <c r="NN26" s="945"/>
      <c r="NO26" s="945"/>
      <c r="NP26" s="945"/>
      <c r="NQ26" s="945"/>
      <c r="NR26" s="945"/>
      <c r="NS26" s="945"/>
      <c r="NT26" s="945"/>
      <c r="NU26" s="945"/>
      <c r="NV26" s="945"/>
      <c r="NW26" s="945"/>
      <c r="NX26" s="945"/>
      <c r="NY26" s="945"/>
      <c r="NZ26" s="945"/>
      <c r="OA26" s="945"/>
      <c r="OB26" s="945"/>
      <c r="OC26" s="945"/>
      <c r="OD26" s="945"/>
      <c r="OE26" s="945"/>
      <c r="OF26" s="945"/>
      <c r="OG26" s="945"/>
      <c r="OH26" s="945"/>
      <c r="OI26" s="945"/>
      <c r="OJ26" s="945"/>
      <c r="OK26" s="945"/>
      <c r="OL26" s="945"/>
      <c r="OM26" s="945"/>
      <c r="ON26" s="945"/>
      <c r="OO26" s="945"/>
      <c r="OP26" s="945"/>
      <c r="OQ26" s="945"/>
      <c r="OR26" s="945"/>
      <c r="OS26" s="945"/>
      <c r="OT26" s="945"/>
      <c r="OU26" s="945"/>
      <c r="OV26" s="945"/>
      <c r="OW26" s="945"/>
      <c r="OX26" s="945"/>
      <c r="OY26" s="945"/>
      <c r="OZ26" s="945"/>
      <c r="PA26" s="945"/>
      <c r="PB26" s="945"/>
      <c r="PC26" s="945"/>
      <c r="PD26" s="945"/>
      <c r="PE26" s="945"/>
      <c r="PF26" s="945"/>
      <c r="PG26" s="945"/>
      <c r="PH26" s="945"/>
      <c r="PI26" s="945"/>
      <c r="PJ26" s="945"/>
      <c r="PK26" s="945"/>
      <c r="PL26" s="945"/>
      <c r="PM26" s="945"/>
      <c r="PN26" s="945"/>
      <c r="PO26" s="945"/>
    </row>
    <row r="27" spans="1:431" s="165" customFormat="1">
      <c r="A27" s="945"/>
      <c r="B27" s="945"/>
      <c r="C27" s="948"/>
      <c r="D27" s="948"/>
      <c r="E27" s="948"/>
      <c r="F27" s="948"/>
      <c r="G27" s="948"/>
      <c r="H27" s="948"/>
      <c r="I27" s="948"/>
      <c r="J27" s="948"/>
      <c r="K27" s="948"/>
      <c r="L27" s="948"/>
      <c r="M27" s="945"/>
      <c r="N27" s="945"/>
      <c r="O27" s="945"/>
      <c r="P27" s="945"/>
      <c r="Q27" s="945"/>
      <c r="R27" s="945"/>
      <c r="S27" s="945"/>
      <c r="T27" s="945"/>
      <c r="U27" s="945"/>
      <c r="V27" s="945"/>
      <c r="W27" s="945"/>
      <c r="X27" s="945"/>
      <c r="Y27" s="945"/>
      <c r="Z27" s="945"/>
      <c r="AA27" s="945"/>
      <c r="AB27" s="945"/>
      <c r="AC27" s="945"/>
      <c r="AD27" s="945"/>
      <c r="AE27" s="945"/>
      <c r="AF27" s="945"/>
      <c r="AG27" s="945"/>
      <c r="AH27" s="945"/>
      <c r="AI27" s="945"/>
      <c r="AJ27" s="945"/>
      <c r="AK27" s="945"/>
      <c r="AL27" s="945"/>
      <c r="AM27" s="945"/>
      <c r="AN27" s="945"/>
      <c r="AO27" s="945"/>
      <c r="AP27" s="945"/>
      <c r="AQ27" s="945"/>
      <c r="AR27" s="945"/>
      <c r="AS27" s="945"/>
      <c r="AT27" s="945"/>
      <c r="AU27" s="945"/>
      <c r="AV27" s="945"/>
      <c r="AW27" s="945"/>
      <c r="AX27" s="945"/>
      <c r="AY27" s="945"/>
      <c r="AZ27" s="945"/>
      <c r="BA27" s="945"/>
      <c r="BB27" s="945"/>
      <c r="BC27" s="945"/>
      <c r="BD27" s="945"/>
      <c r="BE27" s="945"/>
      <c r="BF27" s="945"/>
      <c r="BG27" s="945"/>
      <c r="BH27" s="945"/>
      <c r="BI27" s="945"/>
      <c r="BJ27" s="945"/>
      <c r="BK27" s="945"/>
      <c r="BL27" s="945"/>
      <c r="BM27" s="945"/>
      <c r="BN27" s="945"/>
      <c r="BO27" s="945"/>
      <c r="BP27" s="945"/>
      <c r="BQ27" s="945"/>
      <c r="BR27" s="945"/>
      <c r="BS27" s="945"/>
      <c r="BT27" s="945"/>
      <c r="BU27" s="945"/>
      <c r="BV27" s="945"/>
      <c r="BW27" s="945"/>
      <c r="BX27" s="945"/>
      <c r="BY27" s="945"/>
      <c r="BZ27" s="945"/>
      <c r="CA27" s="945"/>
      <c r="CB27" s="945"/>
      <c r="CC27" s="945"/>
      <c r="CD27" s="945"/>
      <c r="CE27" s="945"/>
      <c r="CF27" s="945"/>
      <c r="CG27" s="945"/>
      <c r="CH27" s="945"/>
      <c r="CI27" s="945"/>
      <c r="CJ27" s="945"/>
      <c r="CK27" s="945"/>
      <c r="CL27" s="945"/>
      <c r="CM27" s="945"/>
      <c r="CN27" s="945"/>
      <c r="CO27" s="945"/>
      <c r="CP27" s="945"/>
      <c r="CQ27" s="945"/>
      <c r="CR27" s="945"/>
      <c r="CS27" s="945"/>
      <c r="CT27" s="945"/>
      <c r="CU27" s="945"/>
      <c r="CV27" s="945"/>
      <c r="CW27" s="945"/>
      <c r="CX27" s="945"/>
      <c r="CY27" s="945"/>
      <c r="CZ27" s="945"/>
      <c r="DA27" s="945"/>
      <c r="DB27" s="945"/>
      <c r="DC27" s="945"/>
      <c r="DD27" s="945"/>
      <c r="DE27" s="945"/>
      <c r="DF27" s="945"/>
      <c r="DG27" s="945"/>
      <c r="DH27" s="945"/>
      <c r="DI27" s="945"/>
      <c r="DJ27" s="945"/>
      <c r="DK27" s="945"/>
      <c r="DL27" s="945"/>
      <c r="DM27" s="945"/>
      <c r="DN27" s="945"/>
      <c r="DO27" s="945"/>
      <c r="DP27" s="945"/>
      <c r="DQ27" s="945"/>
      <c r="DR27" s="945"/>
      <c r="DS27" s="945"/>
      <c r="DT27" s="945"/>
      <c r="DU27" s="945"/>
      <c r="DV27" s="945"/>
      <c r="DW27" s="945"/>
      <c r="DX27" s="945"/>
      <c r="DY27" s="945"/>
      <c r="DZ27" s="945"/>
      <c r="EA27" s="945"/>
      <c r="EB27" s="945"/>
      <c r="EC27" s="945"/>
      <c r="ED27" s="945"/>
      <c r="EE27" s="945"/>
      <c r="EF27" s="945"/>
      <c r="EG27" s="945"/>
      <c r="EH27" s="945"/>
      <c r="EI27" s="945"/>
      <c r="EJ27" s="945"/>
      <c r="EK27" s="945"/>
      <c r="EL27" s="945"/>
      <c r="EM27" s="945"/>
      <c r="EN27" s="945"/>
      <c r="EO27" s="945"/>
      <c r="EP27" s="945"/>
      <c r="EQ27" s="945"/>
      <c r="ER27" s="945"/>
      <c r="ES27" s="945"/>
      <c r="ET27" s="945"/>
      <c r="EU27" s="945"/>
      <c r="EV27" s="945"/>
      <c r="EW27" s="945"/>
      <c r="EX27" s="945"/>
      <c r="EY27" s="945"/>
      <c r="EZ27" s="945"/>
      <c r="FA27" s="945"/>
      <c r="FB27" s="945"/>
      <c r="FC27" s="945"/>
      <c r="FD27" s="945"/>
      <c r="FE27" s="945"/>
      <c r="FF27" s="945"/>
      <c r="FG27" s="945"/>
      <c r="FH27" s="945"/>
      <c r="FI27" s="945"/>
      <c r="FJ27" s="945"/>
      <c r="FK27" s="945"/>
      <c r="FL27" s="945"/>
      <c r="FM27" s="945"/>
      <c r="FN27" s="945"/>
      <c r="FO27" s="945"/>
      <c r="FP27" s="945"/>
      <c r="FQ27" s="945"/>
      <c r="FR27" s="945"/>
      <c r="FS27" s="945"/>
      <c r="FT27" s="945"/>
      <c r="FU27" s="945"/>
      <c r="FV27" s="945"/>
      <c r="FW27" s="945"/>
      <c r="FX27" s="945"/>
      <c r="FY27" s="945"/>
      <c r="FZ27" s="945"/>
      <c r="GA27" s="945"/>
      <c r="GB27" s="945"/>
      <c r="GC27" s="945"/>
      <c r="GD27" s="945"/>
      <c r="GE27" s="945"/>
      <c r="GF27" s="945"/>
      <c r="GG27" s="945"/>
      <c r="GH27" s="945"/>
      <c r="GI27" s="945"/>
      <c r="GJ27" s="945"/>
      <c r="GK27" s="945"/>
      <c r="GL27" s="945"/>
      <c r="GM27" s="945"/>
      <c r="GN27" s="945"/>
      <c r="GO27" s="945"/>
      <c r="GP27" s="945"/>
      <c r="GQ27" s="945"/>
      <c r="GR27" s="945"/>
      <c r="GS27" s="945"/>
      <c r="GT27" s="945"/>
      <c r="GU27" s="945"/>
      <c r="GV27" s="945"/>
      <c r="GW27" s="945"/>
      <c r="GX27" s="945"/>
      <c r="GY27" s="945"/>
      <c r="GZ27" s="945"/>
      <c r="HA27" s="945"/>
      <c r="HB27" s="945"/>
      <c r="HC27" s="945"/>
      <c r="HD27" s="945"/>
      <c r="HE27" s="945"/>
      <c r="HF27" s="945"/>
      <c r="HG27" s="945"/>
      <c r="HH27" s="945"/>
      <c r="HI27" s="945"/>
      <c r="HJ27" s="945"/>
      <c r="HK27" s="945"/>
      <c r="HL27" s="945"/>
      <c r="HM27" s="945"/>
      <c r="HN27" s="945"/>
      <c r="HO27" s="945"/>
      <c r="HP27" s="945"/>
      <c r="HQ27" s="945"/>
      <c r="HR27" s="945"/>
      <c r="HS27" s="945"/>
      <c r="HT27" s="945"/>
      <c r="HU27" s="945"/>
      <c r="HV27" s="945"/>
      <c r="HW27" s="945"/>
      <c r="HX27" s="945"/>
      <c r="HY27" s="945"/>
      <c r="HZ27" s="945"/>
      <c r="IA27" s="945"/>
      <c r="IB27" s="945"/>
      <c r="IC27" s="945"/>
      <c r="ID27" s="945"/>
      <c r="IE27" s="945"/>
      <c r="IF27" s="945"/>
      <c r="IG27" s="945"/>
      <c r="IH27" s="945"/>
      <c r="II27" s="945"/>
      <c r="IJ27" s="945"/>
      <c r="IK27" s="945"/>
      <c r="IL27" s="945"/>
      <c r="IM27" s="945"/>
      <c r="IN27" s="945"/>
      <c r="IO27" s="945"/>
      <c r="IP27" s="945"/>
      <c r="IQ27" s="945"/>
      <c r="IR27" s="945"/>
      <c r="IS27" s="945"/>
      <c r="IT27" s="945"/>
      <c r="IU27" s="945"/>
      <c r="IV27" s="945"/>
      <c r="IW27" s="945"/>
      <c r="IX27" s="945"/>
      <c r="IY27" s="945"/>
      <c r="IZ27" s="945"/>
      <c r="JA27" s="945"/>
      <c r="JB27" s="945"/>
      <c r="JC27" s="945"/>
      <c r="JD27" s="945"/>
      <c r="JE27" s="945"/>
      <c r="JF27" s="945"/>
      <c r="JG27" s="945"/>
      <c r="JH27" s="945"/>
      <c r="JI27" s="945"/>
      <c r="JJ27" s="945"/>
      <c r="JK27" s="945"/>
      <c r="JL27" s="945"/>
      <c r="JM27" s="945"/>
      <c r="JN27" s="945"/>
      <c r="JO27" s="945"/>
      <c r="JP27" s="945"/>
      <c r="JQ27" s="945"/>
      <c r="JR27" s="945"/>
      <c r="JS27" s="945"/>
      <c r="JT27" s="945"/>
      <c r="JU27" s="945"/>
      <c r="JV27" s="945"/>
      <c r="JW27" s="945"/>
      <c r="JX27" s="945"/>
      <c r="JY27" s="945"/>
      <c r="JZ27" s="945"/>
      <c r="KA27" s="945"/>
      <c r="KB27" s="945"/>
      <c r="KC27" s="945"/>
      <c r="KD27" s="945"/>
      <c r="KE27" s="945"/>
      <c r="KF27" s="945"/>
      <c r="KG27" s="945"/>
      <c r="KH27" s="945"/>
      <c r="KI27" s="945"/>
      <c r="KJ27" s="945"/>
      <c r="KK27" s="945"/>
      <c r="KL27" s="945"/>
      <c r="KM27" s="945"/>
      <c r="KN27" s="945"/>
      <c r="KO27" s="945"/>
      <c r="KP27" s="945"/>
      <c r="KQ27" s="945"/>
      <c r="KR27" s="945"/>
      <c r="KS27" s="945"/>
      <c r="KT27" s="945"/>
      <c r="KU27" s="945"/>
      <c r="KV27" s="945"/>
      <c r="KW27" s="945"/>
      <c r="KX27" s="945"/>
      <c r="KY27" s="945"/>
      <c r="KZ27" s="945"/>
      <c r="LA27" s="945"/>
      <c r="LB27" s="945"/>
      <c r="LC27" s="945"/>
      <c r="LD27" s="945"/>
      <c r="LE27" s="945"/>
      <c r="LF27" s="945"/>
      <c r="LG27" s="945"/>
      <c r="LH27" s="945"/>
      <c r="LI27" s="945"/>
      <c r="LJ27" s="945"/>
      <c r="LK27" s="945"/>
      <c r="LL27" s="945"/>
      <c r="LM27" s="945"/>
      <c r="LN27" s="945"/>
      <c r="LO27" s="945"/>
      <c r="LP27" s="945"/>
      <c r="LQ27" s="945"/>
      <c r="LR27" s="945"/>
      <c r="LS27" s="945"/>
      <c r="LT27" s="945"/>
      <c r="LU27" s="945"/>
      <c r="LV27" s="945"/>
      <c r="LW27" s="945"/>
      <c r="LX27" s="945"/>
      <c r="LY27" s="945"/>
      <c r="LZ27" s="945"/>
      <c r="MA27" s="945"/>
      <c r="MB27" s="945"/>
      <c r="MC27" s="945"/>
      <c r="MD27" s="945"/>
      <c r="ME27" s="945"/>
      <c r="MF27" s="945"/>
      <c r="MG27" s="945"/>
      <c r="MH27" s="945"/>
      <c r="MI27" s="945"/>
      <c r="MJ27" s="945"/>
      <c r="MK27" s="945"/>
      <c r="ML27" s="945"/>
      <c r="MM27" s="945"/>
      <c r="MN27" s="945"/>
      <c r="MO27" s="945"/>
      <c r="MP27" s="945"/>
      <c r="MQ27" s="945"/>
      <c r="MR27" s="945"/>
      <c r="MS27" s="945"/>
      <c r="MT27" s="945"/>
      <c r="MU27" s="945"/>
      <c r="MV27" s="945"/>
      <c r="MW27" s="945"/>
      <c r="MX27" s="945"/>
      <c r="MY27" s="945"/>
      <c r="MZ27" s="945"/>
      <c r="NA27" s="945"/>
      <c r="NB27" s="945"/>
      <c r="NC27" s="945"/>
      <c r="ND27" s="945"/>
      <c r="NE27" s="945"/>
      <c r="NF27" s="945"/>
      <c r="NG27" s="945"/>
      <c r="NH27" s="945"/>
      <c r="NI27" s="945"/>
      <c r="NJ27" s="945"/>
      <c r="NK27" s="945"/>
      <c r="NL27" s="945"/>
      <c r="NM27" s="945"/>
      <c r="NN27" s="945"/>
      <c r="NO27" s="945"/>
      <c r="NP27" s="945"/>
      <c r="NQ27" s="945"/>
      <c r="NR27" s="945"/>
      <c r="NS27" s="945"/>
      <c r="NT27" s="945"/>
      <c r="NU27" s="945"/>
      <c r="NV27" s="945"/>
      <c r="NW27" s="945"/>
      <c r="NX27" s="945"/>
      <c r="NY27" s="945"/>
      <c r="NZ27" s="945"/>
      <c r="OA27" s="945"/>
      <c r="OB27" s="945"/>
      <c r="OC27" s="945"/>
      <c r="OD27" s="945"/>
      <c r="OE27" s="945"/>
      <c r="OF27" s="945"/>
      <c r="OG27" s="945"/>
      <c r="OH27" s="945"/>
      <c r="OI27" s="945"/>
      <c r="OJ27" s="945"/>
      <c r="OK27" s="945"/>
      <c r="OL27" s="945"/>
      <c r="OM27" s="945"/>
      <c r="ON27" s="945"/>
      <c r="OO27" s="945"/>
      <c r="OP27" s="945"/>
      <c r="OQ27" s="945"/>
      <c r="OR27" s="945"/>
      <c r="OS27" s="945"/>
      <c r="OT27" s="945"/>
      <c r="OU27" s="945"/>
      <c r="OV27" s="945"/>
      <c r="OW27" s="945"/>
      <c r="OX27" s="945"/>
      <c r="OY27" s="945"/>
      <c r="OZ27" s="945"/>
      <c r="PA27" s="945"/>
      <c r="PB27" s="945"/>
      <c r="PC27" s="945"/>
      <c r="PD27" s="945"/>
      <c r="PE27" s="945"/>
      <c r="PF27" s="945"/>
      <c r="PG27" s="945"/>
      <c r="PH27" s="945"/>
      <c r="PI27" s="945"/>
      <c r="PJ27" s="945"/>
      <c r="PK27" s="945"/>
      <c r="PL27" s="945"/>
      <c r="PM27" s="945"/>
      <c r="PN27" s="945"/>
      <c r="PO27" s="945"/>
    </row>
    <row r="28" spans="1:431" s="165" customFormat="1">
      <c r="A28" s="945"/>
      <c r="B28" s="945"/>
      <c r="C28" s="948"/>
      <c r="D28" s="948"/>
      <c r="E28" s="948"/>
      <c r="F28" s="948"/>
      <c r="G28" s="948"/>
      <c r="H28" s="948"/>
      <c r="I28" s="948"/>
      <c r="J28" s="948"/>
      <c r="K28" s="948"/>
      <c r="L28" s="948"/>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5"/>
      <c r="AY28" s="945"/>
      <c r="AZ28" s="945"/>
      <c r="BA28" s="945"/>
      <c r="BB28" s="945"/>
      <c r="BC28" s="945"/>
      <c r="BD28" s="945"/>
      <c r="BE28" s="945"/>
      <c r="BF28" s="945"/>
      <c r="BG28" s="945"/>
      <c r="BH28" s="945"/>
      <c r="BI28" s="945"/>
      <c r="BJ28" s="945"/>
      <c r="BK28" s="945"/>
      <c r="BL28" s="945"/>
      <c r="BM28" s="945"/>
      <c r="BN28" s="945"/>
      <c r="BO28" s="945"/>
      <c r="BP28" s="945"/>
      <c r="BQ28" s="945"/>
      <c r="BR28" s="945"/>
      <c r="BS28" s="945"/>
      <c r="BT28" s="945"/>
      <c r="BU28" s="945"/>
      <c r="BV28" s="945"/>
      <c r="BW28" s="945"/>
      <c r="BX28" s="945"/>
      <c r="BY28" s="945"/>
      <c r="BZ28" s="945"/>
      <c r="CA28" s="945"/>
      <c r="CB28" s="945"/>
      <c r="CC28" s="945"/>
      <c r="CD28" s="945"/>
      <c r="CE28" s="945"/>
      <c r="CF28" s="945"/>
      <c r="CG28" s="945"/>
      <c r="CH28" s="945"/>
      <c r="CI28" s="945"/>
      <c r="CJ28" s="945"/>
      <c r="CK28" s="945"/>
      <c r="CL28" s="945"/>
      <c r="CM28" s="945"/>
      <c r="CN28" s="945"/>
      <c r="CO28" s="945"/>
      <c r="CP28" s="945"/>
      <c r="CQ28" s="945"/>
      <c r="CR28" s="945"/>
      <c r="CS28" s="945"/>
      <c r="CT28" s="945"/>
      <c r="CU28" s="945"/>
      <c r="CV28" s="945"/>
      <c r="CW28" s="945"/>
      <c r="CX28" s="945"/>
      <c r="CY28" s="945"/>
      <c r="CZ28" s="945"/>
      <c r="DA28" s="945"/>
      <c r="DB28" s="945"/>
      <c r="DC28" s="945"/>
      <c r="DD28" s="945"/>
      <c r="DE28" s="945"/>
      <c r="DF28" s="945"/>
      <c r="DG28" s="945"/>
      <c r="DH28" s="945"/>
      <c r="DI28" s="945"/>
      <c r="DJ28" s="945"/>
      <c r="DK28" s="945"/>
      <c r="DL28" s="945"/>
      <c r="DM28" s="945"/>
      <c r="DN28" s="945"/>
      <c r="DO28" s="945"/>
      <c r="DP28" s="945"/>
      <c r="DQ28" s="945"/>
      <c r="DR28" s="945"/>
      <c r="DS28" s="945"/>
      <c r="DT28" s="945"/>
      <c r="DU28" s="945"/>
      <c r="DV28" s="945"/>
      <c r="DW28" s="945"/>
      <c r="DX28" s="945"/>
      <c r="DY28" s="945"/>
      <c r="DZ28" s="945"/>
      <c r="EA28" s="945"/>
      <c r="EB28" s="945"/>
      <c r="EC28" s="945"/>
      <c r="ED28" s="945"/>
      <c r="EE28" s="945"/>
      <c r="EF28" s="945"/>
      <c r="EG28" s="945"/>
      <c r="EH28" s="945"/>
      <c r="EI28" s="945"/>
      <c r="EJ28" s="945"/>
      <c r="EK28" s="945"/>
      <c r="EL28" s="945"/>
      <c r="EM28" s="945"/>
      <c r="EN28" s="945"/>
      <c r="EO28" s="945"/>
      <c r="EP28" s="945"/>
      <c r="EQ28" s="945"/>
      <c r="ER28" s="945"/>
      <c r="ES28" s="945"/>
      <c r="ET28" s="945"/>
      <c r="EU28" s="945"/>
      <c r="EV28" s="945"/>
      <c r="EW28" s="945"/>
      <c r="EX28" s="945"/>
      <c r="EY28" s="945"/>
      <c r="EZ28" s="945"/>
      <c r="FA28" s="945"/>
      <c r="FB28" s="945"/>
      <c r="FC28" s="945"/>
      <c r="FD28" s="945"/>
      <c r="FE28" s="945"/>
      <c r="FF28" s="945"/>
      <c r="FG28" s="945"/>
      <c r="FH28" s="945"/>
      <c r="FI28" s="945"/>
      <c r="FJ28" s="945"/>
      <c r="FK28" s="945"/>
      <c r="FL28" s="945"/>
      <c r="FM28" s="945"/>
      <c r="FN28" s="945"/>
      <c r="FO28" s="945"/>
      <c r="FP28" s="945"/>
      <c r="FQ28" s="945"/>
      <c r="FR28" s="945"/>
      <c r="FS28" s="945"/>
      <c r="FT28" s="945"/>
      <c r="FU28" s="945"/>
      <c r="FV28" s="945"/>
      <c r="FW28" s="945"/>
      <c r="FX28" s="945"/>
      <c r="FY28" s="945"/>
      <c r="FZ28" s="945"/>
      <c r="GA28" s="945"/>
      <c r="GB28" s="945"/>
      <c r="GC28" s="945"/>
      <c r="GD28" s="945"/>
      <c r="GE28" s="945"/>
      <c r="GF28" s="945"/>
      <c r="GG28" s="945"/>
      <c r="GH28" s="945"/>
      <c r="GI28" s="945"/>
      <c r="GJ28" s="945"/>
      <c r="GK28" s="945"/>
      <c r="GL28" s="945"/>
      <c r="GM28" s="945"/>
      <c r="GN28" s="945"/>
      <c r="GO28" s="945"/>
      <c r="GP28" s="945"/>
      <c r="GQ28" s="945"/>
      <c r="GR28" s="945"/>
      <c r="GS28" s="945"/>
      <c r="GT28" s="945"/>
      <c r="GU28" s="945"/>
      <c r="GV28" s="945"/>
      <c r="GW28" s="945"/>
      <c r="GX28" s="945"/>
      <c r="GY28" s="945"/>
      <c r="GZ28" s="945"/>
      <c r="HA28" s="945"/>
      <c r="HB28" s="945"/>
      <c r="HC28" s="945"/>
      <c r="HD28" s="945"/>
      <c r="HE28" s="945"/>
      <c r="HF28" s="945"/>
      <c r="HG28" s="945"/>
      <c r="HH28" s="945"/>
      <c r="HI28" s="945"/>
      <c r="HJ28" s="945"/>
      <c r="HK28" s="945"/>
      <c r="HL28" s="945"/>
      <c r="HM28" s="945"/>
      <c r="HN28" s="945"/>
      <c r="HO28" s="945"/>
      <c r="HP28" s="945"/>
      <c r="HQ28" s="945"/>
      <c r="HR28" s="945"/>
      <c r="HS28" s="945"/>
      <c r="HT28" s="945"/>
      <c r="HU28" s="945"/>
      <c r="HV28" s="945"/>
      <c r="HW28" s="945"/>
      <c r="HX28" s="945"/>
      <c r="HY28" s="945"/>
      <c r="HZ28" s="945"/>
      <c r="IA28" s="945"/>
      <c r="IB28" s="945"/>
      <c r="IC28" s="945"/>
      <c r="ID28" s="945"/>
      <c r="IE28" s="945"/>
      <c r="IF28" s="945"/>
      <c r="IG28" s="945"/>
      <c r="IH28" s="945"/>
      <c r="II28" s="945"/>
      <c r="IJ28" s="945"/>
      <c r="IK28" s="945"/>
      <c r="IL28" s="945"/>
      <c r="IM28" s="945"/>
      <c r="IN28" s="945"/>
      <c r="IO28" s="945"/>
      <c r="IP28" s="945"/>
      <c r="IQ28" s="945"/>
      <c r="IR28" s="945"/>
      <c r="IS28" s="945"/>
      <c r="IT28" s="945"/>
      <c r="IU28" s="945"/>
      <c r="IV28" s="945"/>
      <c r="IW28" s="945"/>
      <c r="IX28" s="945"/>
      <c r="IY28" s="945"/>
      <c r="IZ28" s="945"/>
      <c r="JA28" s="945"/>
      <c r="JB28" s="945"/>
      <c r="JC28" s="945"/>
      <c r="JD28" s="945"/>
      <c r="JE28" s="945"/>
      <c r="JF28" s="945"/>
      <c r="JG28" s="945"/>
      <c r="JH28" s="945"/>
      <c r="JI28" s="945"/>
      <c r="JJ28" s="945"/>
      <c r="JK28" s="945"/>
      <c r="JL28" s="945"/>
      <c r="JM28" s="945"/>
      <c r="JN28" s="945"/>
      <c r="JO28" s="945"/>
      <c r="JP28" s="945"/>
      <c r="JQ28" s="945"/>
      <c r="JR28" s="945"/>
      <c r="JS28" s="945"/>
      <c r="JT28" s="945"/>
      <c r="JU28" s="945"/>
      <c r="JV28" s="945"/>
      <c r="JW28" s="945"/>
      <c r="JX28" s="945"/>
      <c r="JY28" s="945"/>
      <c r="JZ28" s="945"/>
      <c r="KA28" s="945"/>
      <c r="KB28" s="945"/>
      <c r="KC28" s="945"/>
      <c r="KD28" s="945"/>
      <c r="KE28" s="945"/>
      <c r="KF28" s="945"/>
      <c r="KG28" s="945"/>
      <c r="KH28" s="945"/>
      <c r="KI28" s="945"/>
      <c r="KJ28" s="945"/>
      <c r="KK28" s="945"/>
      <c r="KL28" s="945"/>
      <c r="KM28" s="945"/>
      <c r="KN28" s="945"/>
      <c r="KO28" s="945"/>
      <c r="KP28" s="945"/>
      <c r="KQ28" s="945"/>
      <c r="KR28" s="945"/>
      <c r="KS28" s="945"/>
      <c r="KT28" s="945"/>
      <c r="KU28" s="945"/>
      <c r="KV28" s="945"/>
      <c r="KW28" s="945"/>
      <c r="KX28" s="945"/>
      <c r="KY28" s="945"/>
      <c r="KZ28" s="945"/>
      <c r="LA28" s="945"/>
      <c r="LB28" s="945"/>
      <c r="LC28" s="945"/>
      <c r="LD28" s="945"/>
      <c r="LE28" s="945"/>
      <c r="LF28" s="945"/>
      <c r="LG28" s="945"/>
      <c r="LH28" s="945"/>
      <c r="LI28" s="945"/>
      <c r="LJ28" s="945"/>
      <c r="LK28" s="945"/>
      <c r="LL28" s="945"/>
      <c r="LM28" s="945"/>
      <c r="LN28" s="945"/>
      <c r="LO28" s="945"/>
      <c r="LP28" s="945"/>
      <c r="LQ28" s="945"/>
      <c r="LR28" s="945"/>
      <c r="LS28" s="945"/>
      <c r="LT28" s="945"/>
      <c r="LU28" s="945"/>
      <c r="LV28" s="945"/>
      <c r="LW28" s="945"/>
      <c r="LX28" s="945"/>
      <c r="LY28" s="945"/>
      <c r="LZ28" s="945"/>
      <c r="MA28" s="945"/>
      <c r="MB28" s="945"/>
      <c r="MC28" s="945"/>
      <c r="MD28" s="945"/>
      <c r="ME28" s="945"/>
      <c r="MF28" s="945"/>
      <c r="MG28" s="945"/>
      <c r="MH28" s="945"/>
      <c r="MI28" s="945"/>
      <c r="MJ28" s="945"/>
      <c r="MK28" s="945"/>
      <c r="ML28" s="945"/>
      <c r="MM28" s="945"/>
      <c r="MN28" s="945"/>
      <c r="MO28" s="945"/>
      <c r="MP28" s="945"/>
      <c r="MQ28" s="945"/>
      <c r="MR28" s="945"/>
      <c r="MS28" s="945"/>
      <c r="MT28" s="945"/>
      <c r="MU28" s="945"/>
      <c r="MV28" s="945"/>
      <c r="MW28" s="945"/>
      <c r="MX28" s="945"/>
      <c r="MY28" s="945"/>
      <c r="MZ28" s="945"/>
      <c r="NA28" s="945"/>
      <c r="NB28" s="945"/>
      <c r="NC28" s="945"/>
      <c r="ND28" s="945"/>
      <c r="NE28" s="945"/>
      <c r="NF28" s="945"/>
      <c r="NG28" s="945"/>
      <c r="NH28" s="945"/>
      <c r="NI28" s="945"/>
      <c r="NJ28" s="945"/>
      <c r="NK28" s="945"/>
      <c r="NL28" s="945"/>
      <c r="NM28" s="945"/>
      <c r="NN28" s="945"/>
      <c r="NO28" s="945"/>
      <c r="NP28" s="945"/>
      <c r="NQ28" s="945"/>
      <c r="NR28" s="945"/>
      <c r="NS28" s="945"/>
      <c r="NT28" s="945"/>
      <c r="NU28" s="945"/>
      <c r="NV28" s="945"/>
      <c r="NW28" s="945"/>
      <c r="NX28" s="945"/>
      <c r="NY28" s="945"/>
      <c r="NZ28" s="945"/>
      <c r="OA28" s="945"/>
      <c r="OB28" s="945"/>
      <c r="OC28" s="945"/>
      <c r="OD28" s="945"/>
      <c r="OE28" s="945"/>
      <c r="OF28" s="945"/>
      <c r="OG28" s="945"/>
      <c r="OH28" s="945"/>
      <c r="OI28" s="945"/>
      <c r="OJ28" s="945"/>
      <c r="OK28" s="945"/>
      <c r="OL28" s="945"/>
      <c r="OM28" s="945"/>
      <c r="ON28" s="945"/>
      <c r="OO28" s="945"/>
      <c r="OP28" s="945"/>
      <c r="OQ28" s="945"/>
      <c r="OR28" s="945"/>
      <c r="OS28" s="945"/>
      <c r="OT28" s="945"/>
      <c r="OU28" s="945"/>
      <c r="OV28" s="945"/>
      <c r="OW28" s="945"/>
      <c r="OX28" s="945"/>
      <c r="OY28" s="945"/>
      <c r="OZ28" s="945"/>
      <c r="PA28" s="945"/>
      <c r="PB28" s="945"/>
      <c r="PC28" s="945"/>
      <c r="PD28" s="945"/>
      <c r="PE28" s="945"/>
      <c r="PF28" s="945"/>
      <c r="PG28" s="945"/>
      <c r="PH28" s="945"/>
      <c r="PI28" s="945"/>
      <c r="PJ28" s="945"/>
      <c r="PK28" s="945"/>
      <c r="PL28" s="945"/>
      <c r="PM28" s="945"/>
      <c r="PN28" s="945"/>
      <c r="PO28" s="945"/>
    </row>
    <row r="29" spans="1:431" s="165" customFormat="1">
      <c r="A29" s="945"/>
      <c r="B29" s="945"/>
      <c r="C29" s="948"/>
      <c r="D29" s="948"/>
      <c r="E29" s="948"/>
      <c r="F29" s="948"/>
      <c r="G29" s="948"/>
      <c r="H29" s="948"/>
      <c r="I29" s="948"/>
      <c r="J29" s="948"/>
      <c r="K29" s="948"/>
      <c r="L29" s="948"/>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5"/>
      <c r="AY29" s="945"/>
      <c r="AZ29" s="945"/>
      <c r="BA29" s="945"/>
      <c r="BB29" s="945"/>
      <c r="BC29" s="945"/>
      <c r="BD29" s="945"/>
      <c r="BE29" s="945"/>
      <c r="BF29" s="945"/>
      <c r="BG29" s="945"/>
      <c r="BH29" s="945"/>
      <c r="BI29" s="945"/>
      <c r="BJ29" s="945"/>
      <c r="BK29" s="945"/>
      <c r="BL29" s="945"/>
      <c r="BM29" s="945"/>
      <c r="BN29" s="945"/>
      <c r="BO29" s="945"/>
      <c r="BP29" s="945"/>
      <c r="BQ29" s="945"/>
      <c r="BR29" s="945"/>
      <c r="BS29" s="945"/>
      <c r="BT29" s="945"/>
      <c r="BU29" s="945"/>
      <c r="BV29" s="945"/>
      <c r="BW29" s="945"/>
      <c r="BX29" s="945"/>
      <c r="BY29" s="945"/>
      <c r="BZ29" s="945"/>
      <c r="CA29" s="945"/>
      <c r="CB29" s="945"/>
      <c r="CC29" s="945"/>
      <c r="CD29" s="945"/>
      <c r="CE29" s="945"/>
      <c r="CF29" s="945"/>
      <c r="CG29" s="945"/>
      <c r="CH29" s="945"/>
      <c r="CI29" s="945"/>
      <c r="CJ29" s="945"/>
      <c r="CK29" s="945"/>
      <c r="CL29" s="945"/>
      <c r="CM29" s="945"/>
      <c r="CN29" s="945"/>
      <c r="CO29" s="945"/>
      <c r="CP29" s="945"/>
      <c r="CQ29" s="945"/>
      <c r="CR29" s="945"/>
      <c r="CS29" s="945"/>
      <c r="CT29" s="945"/>
      <c r="CU29" s="945"/>
      <c r="CV29" s="945"/>
      <c r="CW29" s="945"/>
      <c r="CX29" s="945"/>
      <c r="CY29" s="945"/>
      <c r="CZ29" s="945"/>
      <c r="DA29" s="945"/>
      <c r="DB29" s="945"/>
      <c r="DC29" s="945"/>
      <c r="DD29" s="945"/>
      <c r="DE29" s="945"/>
      <c r="DF29" s="945"/>
      <c r="DG29" s="945"/>
      <c r="DH29" s="945"/>
      <c r="DI29" s="945"/>
      <c r="DJ29" s="945"/>
      <c r="DK29" s="945"/>
      <c r="DL29" s="945"/>
      <c r="DM29" s="945"/>
      <c r="DN29" s="945"/>
      <c r="DO29" s="945"/>
      <c r="DP29" s="945"/>
      <c r="DQ29" s="945"/>
      <c r="DR29" s="945"/>
      <c r="DS29" s="945"/>
      <c r="DT29" s="945"/>
      <c r="DU29" s="945"/>
      <c r="DV29" s="945"/>
      <c r="DW29" s="945"/>
      <c r="DX29" s="945"/>
      <c r="DY29" s="945"/>
      <c r="DZ29" s="945"/>
      <c r="EA29" s="945"/>
      <c r="EB29" s="945"/>
      <c r="EC29" s="945"/>
      <c r="ED29" s="945"/>
      <c r="EE29" s="945"/>
      <c r="EF29" s="945"/>
      <c r="EG29" s="945"/>
      <c r="EH29" s="945"/>
      <c r="EI29" s="945"/>
      <c r="EJ29" s="945"/>
      <c r="EK29" s="945"/>
      <c r="EL29" s="945"/>
      <c r="EM29" s="945"/>
      <c r="EN29" s="945"/>
      <c r="EO29" s="945"/>
      <c r="EP29" s="945"/>
      <c r="EQ29" s="945"/>
      <c r="ER29" s="945"/>
      <c r="ES29" s="945"/>
      <c r="ET29" s="945"/>
      <c r="EU29" s="945"/>
      <c r="EV29" s="945"/>
      <c r="EW29" s="945"/>
      <c r="EX29" s="945"/>
      <c r="EY29" s="945"/>
      <c r="EZ29" s="945"/>
      <c r="FA29" s="945"/>
      <c r="FB29" s="945"/>
      <c r="FC29" s="945"/>
      <c r="FD29" s="945"/>
      <c r="FE29" s="945"/>
      <c r="FF29" s="945"/>
      <c r="FG29" s="945"/>
      <c r="FH29" s="945"/>
      <c r="FI29" s="945"/>
      <c r="FJ29" s="945"/>
      <c r="FK29" s="945"/>
      <c r="FL29" s="945"/>
      <c r="FM29" s="945"/>
      <c r="FN29" s="945"/>
      <c r="FO29" s="945"/>
      <c r="FP29" s="945"/>
      <c r="FQ29" s="945"/>
      <c r="FR29" s="945"/>
      <c r="FS29" s="945"/>
      <c r="FT29" s="945"/>
      <c r="FU29" s="945"/>
      <c r="FV29" s="945"/>
      <c r="FW29" s="945"/>
      <c r="FX29" s="945"/>
      <c r="FY29" s="945"/>
      <c r="FZ29" s="945"/>
      <c r="GA29" s="945"/>
      <c r="GB29" s="945"/>
      <c r="GC29" s="945"/>
      <c r="GD29" s="945"/>
      <c r="GE29" s="945"/>
      <c r="GF29" s="945"/>
      <c r="GG29" s="945"/>
      <c r="GH29" s="945"/>
      <c r="GI29" s="945"/>
      <c r="GJ29" s="945"/>
      <c r="GK29" s="945"/>
      <c r="GL29" s="945"/>
      <c r="GM29" s="945"/>
      <c r="GN29" s="945"/>
      <c r="GO29" s="945"/>
      <c r="GP29" s="945"/>
      <c r="GQ29" s="945"/>
      <c r="GR29" s="945"/>
      <c r="GS29" s="945"/>
      <c r="GT29" s="945"/>
      <c r="GU29" s="945"/>
      <c r="GV29" s="945"/>
      <c r="GW29" s="945"/>
      <c r="GX29" s="945"/>
      <c r="GY29" s="945"/>
      <c r="GZ29" s="945"/>
      <c r="HA29" s="945"/>
      <c r="HB29" s="945"/>
      <c r="HC29" s="945"/>
      <c r="HD29" s="945"/>
      <c r="HE29" s="945"/>
      <c r="HF29" s="945"/>
      <c r="HG29" s="945"/>
      <c r="HH29" s="945"/>
      <c r="HI29" s="945"/>
      <c r="HJ29" s="945"/>
      <c r="HK29" s="945"/>
      <c r="HL29" s="945"/>
      <c r="HM29" s="945"/>
      <c r="HN29" s="945"/>
      <c r="HO29" s="945"/>
      <c r="HP29" s="945"/>
      <c r="HQ29" s="945"/>
      <c r="HR29" s="945"/>
      <c r="HS29" s="945"/>
      <c r="HT29" s="945"/>
      <c r="HU29" s="945"/>
      <c r="HV29" s="945"/>
      <c r="HW29" s="945"/>
      <c r="HX29" s="945"/>
      <c r="HY29" s="945"/>
      <c r="HZ29" s="945"/>
      <c r="IA29" s="945"/>
      <c r="IB29" s="945"/>
      <c r="IC29" s="945"/>
      <c r="ID29" s="945"/>
      <c r="IE29" s="945"/>
      <c r="IF29" s="945"/>
      <c r="IG29" s="945"/>
      <c r="IH29" s="945"/>
      <c r="II29" s="945"/>
      <c r="IJ29" s="945"/>
      <c r="IK29" s="945"/>
      <c r="IL29" s="945"/>
      <c r="IM29" s="945"/>
      <c r="IN29" s="945"/>
      <c r="IO29" s="945"/>
      <c r="IP29" s="945"/>
      <c r="IQ29" s="945"/>
      <c r="IR29" s="945"/>
      <c r="IS29" s="945"/>
      <c r="IT29" s="945"/>
      <c r="IU29" s="945"/>
      <c r="IV29" s="945"/>
      <c r="IW29" s="945"/>
      <c r="IX29" s="945"/>
      <c r="IY29" s="945"/>
      <c r="IZ29" s="945"/>
      <c r="JA29" s="945"/>
      <c r="JB29" s="945"/>
      <c r="JC29" s="945"/>
      <c r="JD29" s="945"/>
      <c r="JE29" s="945"/>
      <c r="JF29" s="945"/>
      <c r="JG29" s="945"/>
      <c r="JH29" s="945"/>
      <c r="JI29" s="945"/>
      <c r="JJ29" s="945"/>
      <c r="JK29" s="945"/>
      <c r="JL29" s="945"/>
      <c r="JM29" s="945"/>
      <c r="JN29" s="945"/>
      <c r="JO29" s="945"/>
      <c r="JP29" s="945"/>
      <c r="JQ29" s="945"/>
      <c r="JR29" s="945"/>
      <c r="JS29" s="945"/>
      <c r="JT29" s="945"/>
      <c r="JU29" s="945"/>
      <c r="JV29" s="945"/>
      <c r="JW29" s="945"/>
      <c r="JX29" s="945"/>
      <c r="JY29" s="945"/>
      <c r="JZ29" s="945"/>
      <c r="KA29" s="945"/>
      <c r="KB29" s="945"/>
      <c r="KC29" s="945"/>
      <c r="KD29" s="945"/>
      <c r="KE29" s="945"/>
      <c r="KF29" s="945"/>
      <c r="KG29" s="945"/>
      <c r="KH29" s="945"/>
      <c r="KI29" s="945"/>
      <c r="KJ29" s="945"/>
      <c r="KK29" s="945"/>
      <c r="KL29" s="945"/>
      <c r="KM29" s="945"/>
      <c r="KN29" s="945"/>
      <c r="KO29" s="945"/>
      <c r="KP29" s="945"/>
      <c r="KQ29" s="945"/>
      <c r="KR29" s="945"/>
      <c r="KS29" s="945"/>
      <c r="KT29" s="945"/>
      <c r="KU29" s="945"/>
      <c r="KV29" s="945"/>
      <c r="KW29" s="945"/>
      <c r="KX29" s="945"/>
      <c r="KY29" s="945"/>
      <c r="KZ29" s="945"/>
      <c r="LA29" s="945"/>
      <c r="LB29" s="945"/>
      <c r="LC29" s="945"/>
      <c r="LD29" s="945"/>
      <c r="LE29" s="945"/>
      <c r="LF29" s="945"/>
      <c r="LG29" s="945"/>
      <c r="LH29" s="945"/>
      <c r="LI29" s="945"/>
      <c r="LJ29" s="945"/>
      <c r="LK29" s="945"/>
      <c r="LL29" s="945"/>
      <c r="LM29" s="945"/>
      <c r="LN29" s="945"/>
      <c r="LO29" s="945"/>
      <c r="LP29" s="945"/>
      <c r="LQ29" s="945"/>
      <c r="LR29" s="945"/>
      <c r="LS29" s="945"/>
      <c r="LT29" s="945"/>
      <c r="LU29" s="945"/>
      <c r="LV29" s="945"/>
      <c r="LW29" s="945"/>
      <c r="LX29" s="945"/>
      <c r="LY29" s="945"/>
      <c r="LZ29" s="945"/>
      <c r="MA29" s="945"/>
      <c r="MB29" s="945"/>
      <c r="MC29" s="945"/>
      <c r="MD29" s="945"/>
      <c r="ME29" s="945"/>
      <c r="MF29" s="945"/>
      <c r="MG29" s="945"/>
      <c r="MH29" s="945"/>
      <c r="MI29" s="945"/>
      <c r="MJ29" s="945"/>
      <c r="MK29" s="945"/>
      <c r="ML29" s="945"/>
      <c r="MM29" s="945"/>
      <c r="MN29" s="945"/>
      <c r="MO29" s="945"/>
      <c r="MP29" s="945"/>
      <c r="MQ29" s="945"/>
      <c r="MR29" s="945"/>
      <c r="MS29" s="945"/>
      <c r="MT29" s="945"/>
      <c r="MU29" s="945"/>
      <c r="MV29" s="945"/>
      <c r="MW29" s="945"/>
      <c r="MX29" s="945"/>
      <c r="MY29" s="945"/>
      <c r="MZ29" s="945"/>
      <c r="NA29" s="945"/>
      <c r="NB29" s="945"/>
      <c r="NC29" s="945"/>
      <c r="ND29" s="945"/>
      <c r="NE29" s="945"/>
      <c r="NF29" s="945"/>
      <c r="NG29" s="945"/>
      <c r="NH29" s="945"/>
      <c r="NI29" s="945"/>
      <c r="NJ29" s="945"/>
      <c r="NK29" s="945"/>
      <c r="NL29" s="945"/>
      <c r="NM29" s="945"/>
      <c r="NN29" s="945"/>
      <c r="NO29" s="945"/>
      <c r="NP29" s="945"/>
      <c r="NQ29" s="945"/>
      <c r="NR29" s="945"/>
      <c r="NS29" s="945"/>
      <c r="NT29" s="945"/>
      <c r="NU29" s="945"/>
      <c r="NV29" s="945"/>
      <c r="NW29" s="945"/>
      <c r="NX29" s="945"/>
      <c r="NY29" s="945"/>
      <c r="NZ29" s="945"/>
      <c r="OA29" s="945"/>
      <c r="OB29" s="945"/>
      <c r="OC29" s="945"/>
      <c r="OD29" s="945"/>
      <c r="OE29" s="945"/>
      <c r="OF29" s="945"/>
      <c r="OG29" s="945"/>
      <c r="OH29" s="945"/>
      <c r="OI29" s="945"/>
      <c r="OJ29" s="945"/>
      <c r="OK29" s="945"/>
      <c r="OL29" s="945"/>
      <c r="OM29" s="945"/>
      <c r="ON29" s="945"/>
      <c r="OO29" s="945"/>
      <c r="OP29" s="945"/>
      <c r="OQ29" s="945"/>
      <c r="OR29" s="945"/>
      <c r="OS29" s="945"/>
      <c r="OT29" s="945"/>
      <c r="OU29" s="945"/>
      <c r="OV29" s="945"/>
      <c r="OW29" s="945"/>
      <c r="OX29" s="945"/>
      <c r="OY29" s="945"/>
      <c r="OZ29" s="945"/>
      <c r="PA29" s="945"/>
      <c r="PB29" s="945"/>
      <c r="PC29" s="945"/>
      <c r="PD29" s="945"/>
      <c r="PE29" s="945"/>
      <c r="PF29" s="945"/>
      <c r="PG29" s="945"/>
      <c r="PH29" s="945"/>
      <c r="PI29" s="945"/>
      <c r="PJ29" s="945"/>
      <c r="PK29" s="945"/>
      <c r="PL29" s="945"/>
      <c r="PM29" s="945"/>
      <c r="PN29" s="945"/>
      <c r="PO29" s="945"/>
    </row>
    <row r="30" spans="1:431" s="165" customFormat="1">
      <c r="A30" s="945"/>
      <c r="B30" s="945"/>
      <c r="C30" s="948"/>
      <c r="D30" s="948"/>
      <c r="E30" s="948"/>
      <c r="F30" s="948"/>
      <c r="G30" s="948"/>
      <c r="H30" s="948"/>
      <c r="I30" s="948"/>
      <c r="J30" s="948"/>
      <c r="K30" s="948"/>
      <c r="L30" s="948"/>
      <c r="M30" s="945"/>
      <c r="N30" s="945"/>
      <c r="O30" s="945"/>
      <c r="P30" s="945"/>
      <c r="Q30" s="945"/>
      <c r="R30" s="945"/>
      <c r="S30" s="945"/>
      <c r="T30" s="945"/>
      <c r="U30" s="945"/>
      <c r="V30" s="945"/>
      <c r="W30" s="945"/>
      <c r="X30" s="945"/>
      <c r="Y30" s="945"/>
      <c r="Z30" s="945"/>
      <c r="AA30" s="945"/>
      <c r="AB30" s="945"/>
      <c r="AC30" s="945"/>
      <c r="AD30" s="945"/>
      <c r="AE30" s="945"/>
      <c r="AF30" s="945"/>
      <c r="AG30" s="945"/>
      <c r="AH30" s="945"/>
      <c r="AI30" s="945"/>
      <c r="AJ30" s="945"/>
      <c r="AK30" s="945"/>
      <c r="AL30" s="945"/>
      <c r="AM30" s="945"/>
      <c r="AN30" s="945"/>
      <c r="AO30" s="945"/>
      <c r="AP30" s="945"/>
      <c r="AQ30" s="945"/>
      <c r="AR30" s="945"/>
      <c r="AS30" s="945"/>
      <c r="AT30" s="945"/>
      <c r="AU30" s="945"/>
      <c r="AV30" s="945"/>
      <c r="AW30" s="945"/>
      <c r="AX30" s="945"/>
      <c r="AY30" s="945"/>
      <c r="AZ30" s="945"/>
      <c r="BA30" s="945"/>
      <c r="BB30" s="945"/>
      <c r="BC30" s="945"/>
      <c r="BD30" s="945"/>
      <c r="BE30" s="945"/>
      <c r="BF30" s="945"/>
      <c r="BG30" s="945"/>
      <c r="BH30" s="945"/>
      <c r="BI30" s="945"/>
      <c r="BJ30" s="945"/>
      <c r="BK30" s="945"/>
      <c r="BL30" s="945"/>
      <c r="BM30" s="945"/>
      <c r="BN30" s="945"/>
      <c r="BO30" s="945"/>
      <c r="BP30" s="945"/>
      <c r="BQ30" s="945"/>
      <c r="BR30" s="945"/>
      <c r="BS30" s="945"/>
      <c r="BT30" s="945"/>
      <c r="BU30" s="945"/>
      <c r="BV30" s="945"/>
      <c r="BW30" s="945"/>
      <c r="BX30" s="945"/>
      <c r="BY30" s="945"/>
      <c r="BZ30" s="945"/>
      <c r="CA30" s="945"/>
      <c r="CB30" s="945"/>
      <c r="CC30" s="945"/>
      <c r="CD30" s="945"/>
      <c r="CE30" s="945"/>
      <c r="CF30" s="945"/>
      <c r="CG30" s="945"/>
      <c r="CH30" s="945"/>
      <c r="CI30" s="945"/>
      <c r="CJ30" s="945"/>
      <c r="CK30" s="945"/>
      <c r="CL30" s="945"/>
      <c r="CM30" s="945"/>
      <c r="CN30" s="945"/>
      <c r="CO30" s="945"/>
      <c r="CP30" s="945"/>
      <c r="CQ30" s="945"/>
      <c r="CR30" s="945"/>
      <c r="CS30" s="945"/>
      <c r="CT30" s="945"/>
      <c r="CU30" s="945"/>
      <c r="CV30" s="945"/>
      <c r="CW30" s="945"/>
      <c r="CX30" s="945"/>
      <c r="CY30" s="945"/>
      <c r="CZ30" s="945"/>
      <c r="DA30" s="945"/>
      <c r="DB30" s="945"/>
      <c r="DC30" s="945"/>
      <c r="DD30" s="945"/>
      <c r="DE30" s="945"/>
      <c r="DF30" s="945"/>
      <c r="DG30" s="945"/>
      <c r="DH30" s="945"/>
      <c r="DI30" s="945"/>
      <c r="DJ30" s="945"/>
      <c r="DK30" s="945"/>
      <c r="DL30" s="945"/>
      <c r="DM30" s="945"/>
      <c r="DN30" s="945"/>
      <c r="DO30" s="945"/>
      <c r="DP30" s="945"/>
      <c r="DQ30" s="945"/>
      <c r="DR30" s="945"/>
      <c r="DS30" s="945"/>
      <c r="DT30" s="945"/>
      <c r="DU30" s="945"/>
      <c r="DV30" s="945"/>
      <c r="DW30" s="945"/>
      <c r="DX30" s="945"/>
      <c r="DY30" s="945"/>
      <c r="DZ30" s="945"/>
      <c r="EA30" s="945"/>
      <c r="EB30" s="945"/>
      <c r="EC30" s="945"/>
      <c r="ED30" s="945"/>
      <c r="EE30" s="945"/>
      <c r="EF30" s="945"/>
      <c r="EG30" s="945"/>
      <c r="EH30" s="945"/>
      <c r="EI30" s="945"/>
      <c r="EJ30" s="945"/>
      <c r="EK30" s="945"/>
      <c r="EL30" s="945"/>
      <c r="EM30" s="945"/>
      <c r="EN30" s="945"/>
      <c r="EO30" s="945"/>
      <c r="EP30" s="945"/>
      <c r="EQ30" s="945"/>
      <c r="ER30" s="945"/>
      <c r="ES30" s="945"/>
      <c r="ET30" s="945"/>
      <c r="EU30" s="945"/>
      <c r="EV30" s="945"/>
      <c r="EW30" s="945"/>
      <c r="EX30" s="945"/>
      <c r="EY30" s="945"/>
      <c r="EZ30" s="945"/>
      <c r="FA30" s="945"/>
      <c r="FB30" s="945"/>
      <c r="FC30" s="945"/>
      <c r="FD30" s="945"/>
      <c r="FE30" s="945"/>
      <c r="FF30" s="945"/>
      <c r="FG30" s="945"/>
      <c r="FH30" s="945"/>
      <c r="FI30" s="945"/>
      <c r="FJ30" s="945"/>
      <c r="FK30" s="945"/>
      <c r="FL30" s="945"/>
      <c r="FM30" s="945"/>
      <c r="FN30" s="945"/>
      <c r="FO30" s="945"/>
      <c r="FP30" s="945"/>
      <c r="FQ30" s="945"/>
      <c r="FR30" s="945"/>
      <c r="FS30" s="945"/>
      <c r="FT30" s="945"/>
      <c r="FU30" s="945"/>
      <c r="FV30" s="945"/>
      <c r="FW30" s="945"/>
      <c r="FX30" s="945"/>
      <c r="FY30" s="945"/>
      <c r="FZ30" s="945"/>
      <c r="GA30" s="945"/>
      <c r="GB30" s="945"/>
      <c r="GC30" s="945"/>
      <c r="GD30" s="945"/>
      <c r="GE30" s="945"/>
      <c r="GF30" s="945"/>
      <c r="GG30" s="945"/>
      <c r="GH30" s="945"/>
      <c r="GI30" s="945"/>
      <c r="GJ30" s="945"/>
      <c r="GK30" s="945"/>
      <c r="GL30" s="945"/>
      <c r="GM30" s="945"/>
      <c r="GN30" s="945"/>
      <c r="GO30" s="945"/>
      <c r="GP30" s="945"/>
      <c r="GQ30" s="945"/>
      <c r="GR30" s="945"/>
      <c r="GS30" s="945"/>
      <c r="GT30" s="945"/>
      <c r="GU30" s="945"/>
      <c r="GV30" s="945"/>
      <c r="GW30" s="945"/>
      <c r="GX30" s="945"/>
      <c r="GY30" s="945"/>
      <c r="GZ30" s="945"/>
      <c r="HA30" s="945"/>
      <c r="HB30" s="945"/>
      <c r="HC30" s="945"/>
      <c r="HD30" s="945"/>
      <c r="HE30" s="945"/>
      <c r="HF30" s="945"/>
      <c r="HG30" s="945"/>
      <c r="HH30" s="945"/>
      <c r="HI30" s="945"/>
      <c r="HJ30" s="945"/>
      <c r="HK30" s="945"/>
      <c r="HL30" s="945"/>
      <c r="HM30" s="945"/>
      <c r="HN30" s="945"/>
      <c r="HO30" s="945"/>
      <c r="HP30" s="945"/>
      <c r="HQ30" s="945"/>
      <c r="HR30" s="945"/>
      <c r="HS30" s="945"/>
      <c r="HT30" s="945"/>
      <c r="HU30" s="945"/>
      <c r="HV30" s="945"/>
      <c r="HW30" s="945"/>
      <c r="HX30" s="945"/>
      <c r="HY30" s="945"/>
      <c r="HZ30" s="945"/>
      <c r="IA30" s="945"/>
      <c r="IB30" s="945"/>
      <c r="IC30" s="945"/>
      <c r="ID30" s="945"/>
      <c r="IE30" s="945"/>
      <c r="IF30" s="945"/>
      <c r="IG30" s="945"/>
      <c r="IH30" s="945"/>
      <c r="II30" s="945"/>
      <c r="IJ30" s="945"/>
      <c r="IK30" s="945"/>
      <c r="IL30" s="945"/>
      <c r="IM30" s="945"/>
      <c r="IN30" s="945"/>
      <c r="IO30" s="945"/>
      <c r="IP30" s="945"/>
      <c r="IQ30" s="945"/>
      <c r="IR30" s="945"/>
      <c r="IS30" s="945"/>
      <c r="IT30" s="945"/>
      <c r="IU30" s="945"/>
      <c r="IV30" s="945"/>
      <c r="IW30" s="945"/>
      <c r="IX30" s="945"/>
      <c r="IY30" s="945"/>
      <c r="IZ30" s="945"/>
      <c r="JA30" s="945"/>
      <c r="JB30" s="945"/>
      <c r="JC30" s="945"/>
      <c r="JD30" s="945"/>
      <c r="JE30" s="945"/>
      <c r="JF30" s="945"/>
      <c r="JG30" s="945"/>
      <c r="JH30" s="945"/>
      <c r="JI30" s="945"/>
      <c r="JJ30" s="945"/>
      <c r="JK30" s="945"/>
      <c r="JL30" s="945"/>
      <c r="JM30" s="945"/>
      <c r="JN30" s="945"/>
      <c r="JO30" s="945"/>
      <c r="JP30" s="945"/>
      <c r="JQ30" s="945"/>
      <c r="JR30" s="945"/>
      <c r="JS30" s="945"/>
      <c r="JT30" s="945"/>
      <c r="JU30" s="945"/>
      <c r="JV30" s="945"/>
      <c r="JW30" s="945"/>
      <c r="JX30" s="945"/>
      <c r="JY30" s="945"/>
      <c r="JZ30" s="945"/>
      <c r="KA30" s="945"/>
      <c r="KB30" s="945"/>
      <c r="KC30" s="945"/>
      <c r="KD30" s="945"/>
      <c r="KE30" s="945"/>
      <c r="KF30" s="945"/>
      <c r="KG30" s="945"/>
      <c r="KH30" s="945"/>
      <c r="KI30" s="945"/>
      <c r="KJ30" s="945"/>
      <c r="KK30" s="945"/>
      <c r="KL30" s="945"/>
      <c r="KM30" s="945"/>
      <c r="KN30" s="945"/>
      <c r="KO30" s="945"/>
      <c r="KP30" s="945"/>
      <c r="KQ30" s="945"/>
      <c r="KR30" s="945"/>
      <c r="KS30" s="945"/>
      <c r="KT30" s="945"/>
      <c r="KU30" s="945"/>
      <c r="KV30" s="945"/>
      <c r="KW30" s="945"/>
      <c r="KX30" s="945"/>
      <c r="KY30" s="945"/>
      <c r="KZ30" s="945"/>
      <c r="LA30" s="945"/>
      <c r="LB30" s="945"/>
      <c r="LC30" s="945"/>
      <c r="LD30" s="945"/>
      <c r="LE30" s="945"/>
      <c r="LF30" s="945"/>
      <c r="LG30" s="945"/>
      <c r="LH30" s="945"/>
      <c r="LI30" s="945"/>
      <c r="LJ30" s="945"/>
      <c r="LK30" s="945"/>
      <c r="LL30" s="945"/>
      <c r="LM30" s="945"/>
      <c r="LN30" s="945"/>
      <c r="LO30" s="945"/>
      <c r="LP30" s="945"/>
      <c r="LQ30" s="945"/>
      <c r="LR30" s="945"/>
      <c r="LS30" s="945"/>
      <c r="LT30" s="945"/>
      <c r="LU30" s="945"/>
      <c r="LV30" s="945"/>
      <c r="LW30" s="945"/>
      <c r="LX30" s="945"/>
      <c r="LY30" s="945"/>
      <c r="LZ30" s="945"/>
      <c r="MA30" s="945"/>
      <c r="MB30" s="945"/>
      <c r="MC30" s="945"/>
      <c r="MD30" s="945"/>
      <c r="ME30" s="945"/>
      <c r="MF30" s="945"/>
      <c r="MG30" s="945"/>
      <c r="MH30" s="945"/>
      <c r="MI30" s="945"/>
      <c r="MJ30" s="945"/>
      <c r="MK30" s="945"/>
      <c r="ML30" s="945"/>
      <c r="MM30" s="945"/>
      <c r="MN30" s="945"/>
      <c r="MO30" s="945"/>
      <c r="MP30" s="945"/>
      <c r="MQ30" s="945"/>
      <c r="MR30" s="945"/>
      <c r="MS30" s="945"/>
      <c r="MT30" s="945"/>
      <c r="MU30" s="945"/>
      <c r="MV30" s="945"/>
      <c r="MW30" s="945"/>
      <c r="MX30" s="945"/>
      <c r="MY30" s="945"/>
      <c r="MZ30" s="945"/>
      <c r="NA30" s="945"/>
      <c r="NB30" s="945"/>
      <c r="NC30" s="945"/>
      <c r="ND30" s="945"/>
      <c r="NE30" s="945"/>
      <c r="NF30" s="945"/>
      <c r="NG30" s="945"/>
      <c r="NH30" s="945"/>
      <c r="NI30" s="945"/>
      <c r="NJ30" s="945"/>
      <c r="NK30" s="945"/>
      <c r="NL30" s="945"/>
      <c r="NM30" s="945"/>
      <c r="NN30" s="945"/>
      <c r="NO30" s="945"/>
      <c r="NP30" s="945"/>
      <c r="NQ30" s="945"/>
      <c r="NR30" s="945"/>
      <c r="NS30" s="945"/>
      <c r="NT30" s="945"/>
      <c r="NU30" s="945"/>
      <c r="NV30" s="945"/>
      <c r="NW30" s="945"/>
      <c r="NX30" s="945"/>
      <c r="NY30" s="945"/>
      <c r="NZ30" s="945"/>
      <c r="OA30" s="945"/>
      <c r="OB30" s="945"/>
      <c r="OC30" s="945"/>
      <c r="OD30" s="945"/>
      <c r="OE30" s="945"/>
      <c r="OF30" s="945"/>
      <c r="OG30" s="945"/>
      <c r="OH30" s="945"/>
      <c r="OI30" s="945"/>
      <c r="OJ30" s="945"/>
      <c r="OK30" s="945"/>
      <c r="OL30" s="945"/>
      <c r="OM30" s="945"/>
      <c r="ON30" s="945"/>
      <c r="OO30" s="945"/>
      <c r="OP30" s="945"/>
      <c r="OQ30" s="945"/>
      <c r="OR30" s="945"/>
      <c r="OS30" s="945"/>
      <c r="OT30" s="945"/>
      <c r="OU30" s="945"/>
      <c r="OV30" s="945"/>
      <c r="OW30" s="945"/>
      <c r="OX30" s="945"/>
      <c r="OY30" s="945"/>
      <c r="OZ30" s="945"/>
      <c r="PA30" s="945"/>
      <c r="PB30" s="945"/>
      <c r="PC30" s="945"/>
      <c r="PD30" s="945"/>
      <c r="PE30" s="945"/>
      <c r="PF30" s="945"/>
      <c r="PG30" s="945"/>
      <c r="PH30" s="945"/>
      <c r="PI30" s="945"/>
      <c r="PJ30" s="945"/>
      <c r="PK30" s="945"/>
      <c r="PL30" s="945"/>
      <c r="PM30" s="945"/>
      <c r="PN30" s="945"/>
      <c r="PO30" s="945"/>
    </row>
    <row r="31" spans="1:431" s="165" customFormat="1">
      <c r="A31" s="945"/>
      <c r="B31" s="945"/>
      <c r="C31" s="948"/>
      <c r="D31" s="948"/>
      <c r="E31" s="948"/>
      <c r="F31" s="948"/>
      <c r="G31" s="948"/>
      <c r="H31" s="948"/>
      <c r="I31" s="948"/>
      <c r="J31" s="948"/>
      <c r="K31" s="948"/>
      <c r="L31" s="948"/>
      <c r="M31" s="945"/>
      <c r="N31" s="945"/>
      <c r="O31" s="945"/>
      <c r="P31" s="945"/>
      <c r="Q31" s="945"/>
      <c r="R31" s="945"/>
      <c r="S31" s="945"/>
      <c r="T31" s="945"/>
      <c r="U31" s="945"/>
      <c r="V31" s="945"/>
      <c r="W31" s="945"/>
      <c r="X31" s="945"/>
      <c r="Y31" s="945"/>
      <c r="Z31" s="945"/>
      <c r="AA31" s="945"/>
      <c r="AB31" s="945"/>
      <c r="AC31" s="945"/>
      <c r="AD31" s="945"/>
      <c r="AE31" s="945"/>
      <c r="AF31" s="945"/>
      <c r="AG31" s="945"/>
      <c r="AH31" s="945"/>
      <c r="AI31" s="945"/>
      <c r="AJ31" s="945"/>
      <c r="AK31" s="945"/>
      <c r="AL31" s="945"/>
      <c r="AM31" s="945"/>
      <c r="AN31" s="945"/>
      <c r="AO31" s="945"/>
      <c r="AP31" s="945"/>
      <c r="AQ31" s="945"/>
      <c r="AR31" s="945"/>
      <c r="AS31" s="945"/>
      <c r="AT31" s="945"/>
      <c r="AU31" s="945"/>
      <c r="AV31" s="945"/>
      <c r="AW31" s="945"/>
      <c r="AX31" s="945"/>
      <c r="AY31" s="945"/>
      <c r="AZ31" s="945"/>
      <c r="BA31" s="945"/>
      <c r="BB31" s="945"/>
      <c r="BC31" s="945"/>
      <c r="BD31" s="945"/>
      <c r="BE31" s="945"/>
      <c r="BF31" s="945"/>
      <c r="BG31" s="945"/>
      <c r="BH31" s="945"/>
      <c r="BI31" s="945"/>
      <c r="BJ31" s="945"/>
      <c r="BK31" s="945"/>
      <c r="BL31" s="945"/>
      <c r="BM31" s="945"/>
      <c r="BN31" s="945"/>
      <c r="BO31" s="945"/>
      <c r="BP31" s="945"/>
      <c r="BQ31" s="945"/>
      <c r="BR31" s="945"/>
      <c r="BS31" s="945"/>
      <c r="BT31" s="945"/>
      <c r="BU31" s="945"/>
      <c r="BV31" s="945"/>
      <c r="BW31" s="945"/>
      <c r="BX31" s="945"/>
      <c r="BY31" s="945"/>
      <c r="BZ31" s="945"/>
      <c r="CA31" s="945"/>
      <c r="CB31" s="945"/>
      <c r="CC31" s="945"/>
      <c r="CD31" s="945"/>
      <c r="CE31" s="945"/>
      <c r="CF31" s="945"/>
      <c r="CG31" s="945"/>
      <c r="CH31" s="945"/>
      <c r="CI31" s="945"/>
      <c r="CJ31" s="945"/>
      <c r="CK31" s="945"/>
      <c r="CL31" s="945"/>
      <c r="CM31" s="945"/>
      <c r="CN31" s="945"/>
      <c r="CO31" s="945"/>
      <c r="CP31" s="945"/>
      <c r="CQ31" s="945"/>
      <c r="CR31" s="945"/>
      <c r="CS31" s="945"/>
      <c r="CT31" s="945"/>
      <c r="CU31" s="945"/>
      <c r="CV31" s="945"/>
      <c r="CW31" s="945"/>
      <c r="CX31" s="945"/>
      <c r="CY31" s="945"/>
      <c r="CZ31" s="945"/>
      <c r="DA31" s="945"/>
      <c r="DB31" s="945"/>
      <c r="DC31" s="945"/>
      <c r="DD31" s="945"/>
      <c r="DE31" s="945"/>
      <c r="DF31" s="945"/>
      <c r="DG31" s="945"/>
      <c r="DH31" s="945"/>
      <c r="DI31" s="945"/>
      <c r="DJ31" s="945"/>
      <c r="DK31" s="945"/>
      <c r="DL31" s="945"/>
      <c r="DM31" s="945"/>
      <c r="DN31" s="945"/>
      <c r="DO31" s="945"/>
      <c r="DP31" s="945"/>
      <c r="DQ31" s="945"/>
      <c r="DR31" s="945"/>
      <c r="DS31" s="945"/>
      <c r="DT31" s="945"/>
      <c r="DU31" s="945"/>
      <c r="DV31" s="945"/>
      <c r="DW31" s="945"/>
      <c r="DX31" s="945"/>
      <c r="DY31" s="945"/>
      <c r="DZ31" s="945"/>
      <c r="EA31" s="945"/>
      <c r="EB31" s="945"/>
      <c r="EC31" s="945"/>
      <c r="ED31" s="945"/>
      <c r="EE31" s="945"/>
      <c r="EF31" s="945"/>
      <c r="EG31" s="945"/>
      <c r="EH31" s="945"/>
      <c r="EI31" s="945"/>
      <c r="EJ31" s="945"/>
      <c r="EK31" s="945"/>
      <c r="EL31" s="945"/>
      <c r="EM31" s="945"/>
      <c r="EN31" s="945"/>
      <c r="EO31" s="945"/>
      <c r="EP31" s="945"/>
      <c r="EQ31" s="945"/>
      <c r="ER31" s="945"/>
      <c r="ES31" s="945"/>
      <c r="ET31" s="945"/>
      <c r="EU31" s="945"/>
      <c r="EV31" s="945"/>
      <c r="EW31" s="945"/>
      <c r="EX31" s="945"/>
      <c r="EY31" s="945"/>
      <c r="EZ31" s="945"/>
      <c r="FA31" s="945"/>
      <c r="FB31" s="945"/>
      <c r="FC31" s="945"/>
      <c r="FD31" s="945"/>
      <c r="FE31" s="945"/>
      <c r="FF31" s="945"/>
      <c r="FG31" s="945"/>
      <c r="FH31" s="945"/>
      <c r="FI31" s="945"/>
      <c r="FJ31" s="945"/>
      <c r="FK31" s="945"/>
      <c r="FL31" s="945"/>
      <c r="FM31" s="945"/>
      <c r="FN31" s="945"/>
      <c r="FO31" s="945"/>
      <c r="FP31" s="945"/>
      <c r="FQ31" s="945"/>
      <c r="FR31" s="945"/>
      <c r="FS31" s="945"/>
      <c r="FT31" s="945"/>
      <c r="FU31" s="945"/>
      <c r="FV31" s="945"/>
      <c r="FW31" s="945"/>
      <c r="FX31" s="945"/>
      <c r="FY31" s="945"/>
      <c r="FZ31" s="945"/>
      <c r="GA31" s="945"/>
      <c r="GB31" s="945"/>
      <c r="GC31" s="945"/>
      <c r="GD31" s="945"/>
      <c r="GE31" s="945"/>
      <c r="GF31" s="945"/>
      <c r="GG31" s="945"/>
      <c r="GH31" s="945"/>
      <c r="GI31" s="945"/>
      <c r="GJ31" s="945"/>
      <c r="GK31" s="945"/>
      <c r="GL31" s="945"/>
      <c r="GM31" s="945"/>
      <c r="GN31" s="945"/>
      <c r="GO31" s="945"/>
      <c r="GP31" s="945"/>
      <c r="GQ31" s="945"/>
      <c r="GR31" s="945"/>
      <c r="GS31" s="945"/>
      <c r="GT31" s="945"/>
      <c r="GU31" s="945"/>
      <c r="GV31" s="945"/>
      <c r="GW31" s="945"/>
      <c r="GX31" s="945"/>
      <c r="GY31" s="945"/>
      <c r="GZ31" s="945"/>
      <c r="HA31" s="945"/>
      <c r="HB31" s="945"/>
      <c r="HC31" s="945"/>
      <c r="HD31" s="945"/>
      <c r="HE31" s="945"/>
      <c r="HF31" s="945"/>
      <c r="HG31" s="945"/>
      <c r="HH31" s="945"/>
      <c r="HI31" s="945"/>
      <c r="HJ31" s="945"/>
      <c r="HK31" s="945"/>
      <c r="HL31" s="945"/>
      <c r="HM31" s="945"/>
      <c r="HN31" s="945"/>
      <c r="HO31" s="945"/>
      <c r="HP31" s="945"/>
      <c r="HQ31" s="945"/>
      <c r="HR31" s="945"/>
      <c r="HS31" s="945"/>
      <c r="HT31" s="945"/>
      <c r="HU31" s="945"/>
      <c r="HV31" s="945"/>
      <c r="HW31" s="945"/>
      <c r="HX31" s="945"/>
      <c r="HY31" s="945"/>
      <c r="HZ31" s="945"/>
      <c r="IA31" s="945"/>
      <c r="IB31" s="945"/>
      <c r="IC31" s="945"/>
      <c r="ID31" s="945"/>
      <c r="IE31" s="945"/>
      <c r="IF31" s="945"/>
      <c r="IG31" s="945"/>
      <c r="IH31" s="945"/>
      <c r="II31" s="945"/>
      <c r="IJ31" s="945"/>
      <c r="IK31" s="945"/>
      <c r="IL31" s="945"/>
      <c r="IM31" s="945"/>
      <c r="IN31" s="945"/>
      <c r="IO31" s="945"/>
      <c r="IP31" s="945"/>
      <c r="IQ31" s="945"/>
      <c r="IR31" s="945"/>
      <c r="IS31" s="945"/>
      <c r="IT31" s="945"/>
      <c r="IU31" s="945"/>
      <c r="IV31" s="945"/>
      <c r="IW31" s="945"/>
      <c r="IX31" s="945"/>
      <c r="IY31" s="945"/>
      <c r="IZ31" s="945"/>
      <c r="JA31" s="945"/>
      <c r="JB31" s="945"/>
      <c r="JC31" s="945"/>
      <c r="JD31" s="945"/>
      <c r="JE31" s="945"/>
      <c r="JF31" s="945"/>
      <c r="JG31" s="945"/>
      <c r="JH31" s="945"/>
      <c r="JI31" s="945"/>
      <c r="JJ31" s="945"/>
      <c r="JK31" s="945"/>
      <c r="JL31" s="945"/>
      <c r="JM31" s="945"/>
      <c r="JN31" s="945"/>
      <c r="JO31" s="945"/>
      <c r="JP31" s="945"/>
      <c r="JQ31" s="945"/>
      <c r="JR31" s="945"/>
      <c r="JS31" s="945"/>
      <c r="JT31" s="945"/>
      <c r="JU31" s="945"/>
      <c r="JV31" s="945"/>
      <c r="JW31" s="945"/>
      <c r="JX31" s="945"/>
      <c r="JY31" s="945"/>
      <c r="JZ31" s="945"/>
      <c r="KA31" s="945"/>
      <c r="KB31" s="945"/>
      <c r="KC31" s="945"/>
      <c r="KD31" s="945"/>
      <c r="KE31" s="945"/>
      <c r="KF31" s="945"/>
      <c r="KG31" s="945"/>
      <c r="KH31" s="945"/>
      <c r="KI31" s="945"/>
      <c r="KJ31" s="945"/>
      <c r="KK31" s="945"/>
      <c r="KL31" s="945"/>
      <c r="KM31" s="945"/>
      <c r="KN31" s="945"/>
      <c r="KO31" s="945"/>
      <c r="KP31" s="945"/>
      <c r="KQ31" s="945"/>
      <c r="KR31" s="945"/>
      <c r="KS31" s="945"/>
      <c r="KT31" s="945"/>
      <c r="KU31" s="945"/>
      <c r="KV31" s="945"/>
      <c r="KW31" s="945"/>
      <c r="KX31" s="945"/>
      <c r="KY31" s="945"/>
      <c r="KZ31" s="945"/>
      <c r="LA31" s="945"/>
      <c r="LB31" s="945"/>
      <c r="LC31" s="945"/>
      <c r="LD31" s="945"/>
      <c r="LE31" s="945"/>
      <c r="LF31" s="945"/>
      <c r="LG31" s="945"/>
      <c r="LH31" s="945"/>
      <c r="LI31" s="945"/>
      <c r="LJ31" s="945"/>
      <c r="LK31" s="945"/>
      <c r="LL31" s="945"/>
      <c r="LM31" s="945"/>
      <c r="LN31" s="945"/>
      <c r="LO31" s="945"/>
      <c r="LP31" s="945"/>
      <c r="LQ31" s="945"/>
      <c r="LR31" s="945"/>
      <c r="LS31" s="945"/>
      <c r="LT31" s="945"/>
      <c r="LU31" s="945"/>
      <c r="LV31" s="945"/>
      <c r="LW31" s="945"/>
      <c r="LX31" s="945"/>
      <c r="LY31" s="945"/>
      <c r="LZ31" s="945"/>
      <c r="MA31" s="945"/>
      <c r="MB31" s="945"/>
      <c r="MC31" s="945"/>
      <c r="MD31" s="945"/>
      <c r="ME31" s="945"/>
      <c r="MF31" s="945"/>
      <c r="MG31" s="945"/>
      <c r="MH31" s="945"/>
      <c r="MI31" s="945"/>
      <c r="MJ31" s="945"/>
      <c r="MK31" s="945"/>
      <c r="ML31" s="945"/>
      <c r="MM31" s="945"/>
      <c r="MN31" s="945"/>
      <c r="MO31" s="945"/>
      <c r="MP31" s="945"/>
      <c r="MQ31" s="945"/>
      <c r="MR31" s="945"/>
      <c r="MS31" s="945"/>
      <c r="MT31" s="945"/>
      <c r="MU31" s="945"/>
      <c r="MV31" s="945"/>
      <c r="MW31" s="945"/>
      <c r="MX31" s="945"/>
      <c r="MY31" s="945"/>
      <c r="MZ31" s="945"/>
      <c r="NA31" s="945"/>
      <c r="NB31" s="945"/>
      <c r="NC31" s="945"/>
      <c r="ND31" s="945"/>
      <c r="NE31" s="945"/>
      <c r="NF31" s="945"/>
      <c r="NG31" s="945"/>
      <c r="NH31" s="945"/>
      <c r="NI31" s="945"/>
      <c r="NJ31" s="945"/>
      <c r="NK31" s="945"/>
      <c r="NL31" s="945"/>
      <c r="NM31" s="945"/>
      <c r="NN31" s="945"/>
      <c r="NO31" s="945"/>
      <c r="NP31" s="945"/>
      <c r="NQ31" s="945"/>
      <c r="NR31" s="945"/>
      <c r="NS31" s="945"/>
      <c r="NT31" s="945"/>
      <c r="NU31" s="945"/>
      <c r="NV31" s="945"/>
      <c r="NW31" s="945"/>
      <c r="NX31" s="945"/>
      <c r="NY31" s="945"/>
      <c r="NZ31" s="945"/>
      <c r="OA31" s="945"/>
      <c r="OB31" s="945"/>
      <c r="OC31" s="945"/>
      <c r="OD31" s="945"/>
      <c r="OE31" s="945"/>
      <c r="OF31" s="945"/>
      <c r="OG31" s="945"/>
      <c r="OH31" s="945"/>
      <c r="OI31" s="945"/>
      <c r="OJ31" s="945"/>
      <c r="OK31" s="945"/>
      <c r="OL31" s="945"/>
      <c r="OM31" s="945"/>
      <c r="ON31" s="945"/>
      <c r="OO31" s="945"/>
      <c r="OP31" s="945"/>
      <c r="OQ31" s="945"/>
      <c r="OR31" s="945"/>
      <c r="OS31" s="945"/>
      <c r="OT31" s="945"/>
      <c r="OU31" s="945"/>
      <c r="OV31" s="945"/>
      <c r="OW31" s="945"/>
      <c r="OX31" s="945"/>
      <c r="OY31" s="945"/>
      <c r="OZ31" s="945"/>
      <c r="PA31" s="945"/>
      <c r="PB31" s="945"/>
      <c r="PC31" s="945"/>
      <c r="PD31" s="945"/>
      <c r="PE31" s="945"/>
      <c r="PF31" s="945"/>
      <c r="PG31" s="945"/>
      <c r="PH31" s="945"/>
      <c r="PI31" s="945"/>
      <c r="PJ31" s="945"/>
      <c r="PK31" s="945"/>
      <c r="PL31" s="945"/>
      <c r="PM31" s="945"/>
      <c r="PN31" s="945"/>
      <c r="PO31" s="945"/>
    </row>
    <row r="32" spans="1:431" s="165" customFormat="1">
      <c r="A32" s="945"/>
      <c r="B32" s="945"/>
      <c r="C32" s="948"/>
      <c r="D32" s="948"/>
      <c r="E32" s="948"/>
      <c r="F32" s="948"/>
      <c r="G32" s="948"/>
      <c r="H32" s="948"/>
      <c r="I32" s="948"/>
      <c r="J32" s="948"/>
      <c r="K32" s="948"/>
      <c r="L32" s="948"/>
      <c r="M32" s="945"/>
      <c r="N32" s="945"/>
      <c r="O32" s="945"/>
      <c r="P32" s="945"/>
      <c r="Q32" s="945"/>
      <c r="R32" s="945"/>
      <c r="S32" s="945"/>
      <c r="T32" s="945"/>
      <c r="U32" s="945"/>
      <c r="V32" s="945"/>
      <c r="W32" s="945"/>
      <c r="X32" s="945"/>
      <c r="Y32" s="945"/>
      <c r="Z32" s="945"/>
      <c r="AA32" s="945"/>
      <c r="AB32" s="945"/>
      <c r="AC32" s="945"/>
      <c r="AD32" s="945"/>
      <c r="AE32" s="945"/>
      <c r="AF32" s="945"/>
      <c r="AG32" s="945"/>
      <c r="AH32" s="945"/>
      <c r="AI32" s="945"/>
      <c r="AJ32" s="945"/>
      <c r="AK32" s="945"/>
      <c r="AL32" s="945"/>
      <c r="AM32" s="945"/>
      <c r="AN32" s="945"/>
      <c r="AO32" s="945"/>
      <c r="AP32" s="945"/>
      <c r="AQ32" s="945"/>
      <c r="AR32" s="945"/>
      <c r="AS32" s="945"/>
      <c r="AT32" s="945"/>
      <c r="AU32" s="945"/>
      <c r="AV32" s="945"/>
      <c r="AW32" s="945"/>
      <c r="AX32" s="945"/>
      <c r="AY32" s="945"/>
      <c r="AZ32" s="945"/>
      <c r="BA32" s="945"/>
      <c r="BB32" s="945"/>
      <c r="BC32" s="945"/>
      <c r="BD32" s="945"/>
      <c r="BE32" s="945"/>
      <c r="BF32" s="945"/>
      <c r="BG32" s="945"/>
      <c r="BH32" s="945"/>
      <c r="BI32" s="945"/>
      <c r="BJ32" s="945"/>
      <c r="BK32" s="945"/>
      <c r="BL32" s="945"/>
      <c r="BM32" s="945"/>
      <c r="BN32" s="945"/>
      <c r="BO32" s="945"/>
      <c r="BP32" s="945"/>
      <c r="BQ32" s="945"/>
      <c r="BR32" s="945"/>
      <c r="BS32" s="945"/>
      <c r="BT32" s="945"/>
      <c r="BU32" s="945"/>
      <c r="BV32" s="945"/>
      <c r="BW32" s="945"/>
      <c r="BX32" s="945"/>
      <c r="BY32" s="945"/>
      <c r="BZ32" s="945"/>
      <c r="CA32" s="945"/>
      <c r="CB32" s="945"/>
      <c r="CC32" s="945"/>
      <c r="CD32" s="945"/>
      <c r="CE32" s="945"/>
      <c r="CF32" s="945"/>
      <c r="CG32" s="945"/>
      <c r="CH32" s="945"/>
      <c r="CI32" s="945"/>
      <c r="CJ32" s="945"/>
      <c r="CK32" s="945"/>
      <c r="CL32" s="945"/>
      <c r="CM32" s="945"/>
      <c r="CN32" s="945"/>
      <c r="CO32" s="945"/>
      <c r="CP32" s="945"/>
      <c r="CQ32" s="945"/>
      <c r="CR32" s="945"/>
      <c r="CS32" s="945"/>
      <c r="CT32" s="945"/>
      <c r="CU32" s="945"/>
      <c r="CV32" s="945"/>
      <c r="CW32" s="945"/>
      <c r="CX32" s="945"/>
      <c r="CY32" s="945"/>
      <c r="CZ32" s="945"/>
      <c r="DA32" s="945"/>
      <c r="DB32" s="945"/>
      <c r="DC32" s="945"/>
      <c r="DD32" s="945"/>
      <c r="DE32" s="945"/>
      <c r="DF32" s="945"/>
      <c r="DG32" s="945"/>
      <c r="DH32" s="945"/>
      <c r="DI32" s="945"/>
      <c r="DJ32" s="945"/>
      <c r="DK32" s="945"/>
      <c r="DL32" s="945"/>
      <c r="DM32" s="945"/>
      <c r="DN32" s="945"/>
      <c r="DO32" s="945"/>
      <c r="DP32" s="945"/>
      <c r="DQ32" s="945"/>
      <c r="DR32" s="945"/>
      <c r="DS32" s="945"/>
      <c r="DT32" s="945"/>
      <c r="DU32" s="945"/>
      <c r="DV32" s="945"/>
      <c r="DW32" s="945"/>
      <c r="DX32" s="945"/>
      <c r="DY32" s="945"/>
      <c r="DZ32" s="945"/>
      <c r="EA32" s="945"/>
      <c r="EB32" s="945"/>
      <c r="EC32" s="945"/>
      <c r="ED32" s="945"/>
      <c r="EE32" s="945"/>
      <c r="EF32" s="945"/>
      <c r="EG32" s="945"/>
      <c r="EH32" s="945"/>
      <c r="EI32" s="945"/>
      <c r="EJ32" s="945"/>
      <c r="EK32" s="945"/>
      <c r="EL32" s="945"/>
      <c r="EM32" s="945"/>
      <c r="EN32" s="945"/>
      <c r="EO32" s="945"/>
      <c r="EP32" s="945"/>
      <c r="EQ32" s="945"/>
      <c r="ER32" s="945"/>
      <c r="ES32" s="945"/>
      <c r="ET32" s="945"/>
      <c r="EU32" s="945"/>
      <c r="EV32" s="945"/>
      <c r="EW32" s="945"/>
      <c r="EX32" s="945"/>
      <c r="EY32" s="945"/>
      <c r="EZ32" s="945"/>
      <c r="FA32" s="945"/>
      <c r="FB32" s="945"/>
      <c r="FC32" s="945"/>
      <c r="FD32" s="945"/>
      <c r="FE32" s="945"/>
      <c r="FF32" s="945"/>
      <c r="FG32" s="945"/>
      <c r="FH32" s="945"/>
      <c r="FI32" s="945"/>
      <c r="FJ32" s="945"/>
      <c r="FK32" s="945"/>
      <c r="FL32" s="945"/>
      <c r="FM32" s="945"/>
      <c r="FN32" s="945"/>
      <c r="FO32" s="945"/>
      <c r="FP32" s="945"/>
      <c r="FQ32" s="945"/>
      <c r="FR32" s="945"/>
      <c r="FS32" s="945"/>
      <c r="FT32" s="945"/>
      <c r="FU32" s="945"/>
      <c r="FV32" s="945"/>
      <c r="FW32" s="945"/>
      <c r="FX32" s="945"/>
      <c r="FY32" s="945"/>
      <c r="FZ32" s="945"/>
      <c r="GA32" s="945"/>
      <c r="GB32" s="945"/>
      <c r="GC32" s="945"/>
      <c r="GD32" s="945"/>
      <c r="GE32" s="945"/>
      <c r="GF32" s="945"/>
      <c r="GG32" s="945"/>
      <c r="GH32" s="945"/>
      <c r="GI32" s="945"/>
      <c r="GJ32" s="945"/>
      <c r="GK32" s="945"/>
      <c r="GL32" s="945"/>
      <c r="GM32" s="945"/>
      <c r="GN32" s="945"/>
      <c r="GO32" s="945"/>
      <c r="GP32" s="945"/>
      <c r="GQ32" s="945"/>
      <c r="GR32" s="945"/>
      <c r="GS32" s="945"/>
      <c r="GT32" s="945"/>
      <c r="GU32" s="945"/>
      <c r="GV32" s="945"/>
      <c r="GW32" s="945"/>
      <c r="GX32" s="945"/>
      <c r="GY32" s="945"/>
      <c r="GZ32" s="945"/>
      <c r="HA32" s="945"/>
      <c r="HB32" s="945"/>
      <c r="HC32" s="945"/>
      <c r="HD32" s="945"/>
      <c r="HE32" s="945"/>
      <c r="HF32" s="945"/>
      <c r="HG32" s="945"/>
      <c r="HH32" s="945"/>
      <c r="HI32" s="945"/>
      <c r="HJ32" s="945"/>
      <c r="HK32" s="945"/>
      <c r="HL32" s="945"/>
      <c r="HM32" s="945"/>
      <c r="HN32" s="945"/>
      <c r="HO32" s="945"/>
      <c r="HP32" s="945"/>
      <c r="HQ32" s="945"/>
      <c r="HR32" s="945"/>
      <c r="HS32" s="945"/>
      <c r="HT32" s="945"/>
      <c r="HU32" s="945"/>
      <c r="HV32" s="945"/>
      <c r="HW32" s="945"/>
      <c r="HX32" s="945"/>
      <c r="HY32" s="945"/>
      <c r="HZ32" s="945"/>
      <c r="IA32" s="945"/>
      <c r="IB32" s="945"/>
      <c r="IC32" s="945"/>
      <c r="ID32" s="945"/>
      <c r="IE32" s="945"/>
      <c r="IF32" s="945"/>
      <c r="IG32" s="945"/>
      <c r="IH32" s="945"/>
      <c r="II32" s="945"/>
      <c r="IJ32" s="945"/>
      <c r="IK32" s="945"/>
      <c r="IL32" s="945"/>
      <c r="IM32" s="945"/>
      <c r="IN32" s="945"/>
      <c r="IO32" s="945"/>
      <c r="IP32" s="945"/>
      <c r="IQ32" s="945"/>
      <c r="IR32" s="945"/>
      <c r="IS32" s="945"/>
      <c r="IT32" s="945"/>
      <c r="IU32" s="945"/>
      <c r="IV32" s="945"/>
      <c r="IW32" s="945"/>
      <c r="IX32" s="945"/>
      <c r="IY32" s="945"/>
      <c r="IZ32" s="945"/>
      <c r="JA32" s="945"/>
      <c r="JB32" s="945"/>
      <c r="JC32" s="945"/>
      <c r="JD32" s="945"/>
      <c r="JE32" s="945"/>
      <c r="JF32" s="945"/>
      <c r="JG32" s="945"/>
      <c r="JH32" s="945"/>
      <c r="JI32" s="945"/>
      <c r="JJ32" s="945"/>
      <c r="JK32" s="945"/>
      <c r="JL32" s="945"/>
      <c r="JM32" s="945"/>
      <c r="JN32" s="945"/>
      <c r="JO32" s="945"/>
      <c r="JP32" s="945"/>
      <c r="JQ32" s="945"/>
      <c r="JR32" s="945"/>
      <c r="JS32" s="945"/>
      <c r="JT32" s="945"/>
      <c r="JU32" s="945"/>
      <c r="JV32" s="945"/>
      <c r="JW32" s="945"/>
      <c r="JX32" s="945"/>
      <c r="JY32" s="945"/>
      <c r="JZ32" s="945"/>
      <c r="KA32" s="945"/>
      <c r="KB32" s="945"/>
      <c r="KC32" s="945"/>
      <c r="KD32" s="945"/>
      <c r="KE32" s="945"/>
      <c r="KF32" s="945"/>
      <c r="KG32" s="945"/>
      <c r="KH32" s="945"/>
      <c r="KI32" s="945"/>
      <c r="KJ32" s="945"/>
      <c r="KK32" s="945"/>
      <c r="KL32" s="945"/>
      <c r="KM32" s="945"/>
      <c r="KN32" s="945"/>
      <c r="KO32" s="945"/>
      <c r="KP32" s="945"/>
      <c r="KQ32" s="945"/>
      <c r="KR32" s="945"/>
      <c r="KS32" s="945"/>
      <c r="KT32" s="945"/>
      <c r="KU32" s="945"/>
      <c r="KV32" s="945"/>
      <c r="KW32" s="945"/>
      <c r="KX32" s="945"/>
      <c r="KY32" s="945"/>
      <c r="KZ32" s="945"/>
      <c r="LA32" s="945"/>
      <c r="LB32" s="945"/>
      <c r="LC32" s="945"/>
      <c r="LD32" s="945"/>
      <c r="LE32" s="945"/>
      <c r="LF32" s="945"/>
      <c r="LG32" s="945"/>
      <c r="LH32" s="945"/>
      <c r="LI32" s="945"/>
      <c r="LJ32" s="945"/>
      <c r="LK32" s="945"/>
      <c r="LL32" s="945"/>
      <c r="LM32" s="945"/>
      <c r="LN32" s="945"/>
      <c r="LO32" s="945"/>
      <c r="LP32" s="945"/>
      <c r="LQ32" s="945"/>
      <c r="LR32" s="945"/>
      <c r="LS32" s="945"/>
      <c r="LT32" s="945"/>
      <c r="LU32" s="945"/>
      <c r="LV32" s="945"/>
      <c r="LW32" s="945"/>
      <c r="LX32" s="945"/>
      <c r="LY32" s="945"/>
      <c r="LZ32" s="945"/>
      <c r="MA32" s="945"/>
      <c r="MB32" s="945"/>
      <c r="MC32" s="945"/>
      <c r="MD32" s="945"/>
      <c r="ME32" s="945"/>
      <c r="MF32" s="945"/>
      <c r="MG32" s="945"/>
      <c r="MH32" s="945"/>
      <c r="MI32" s="945"/>
      <c r="MJ32" s="945"/>
      <c r="MK32" s="945"/>
      <c r="ML32" s="945"/>
      <c r="MM32" s="945"/>
      <c r="MN32" s="945"/>
      <c r="MO32" s="945"/>
      <c r="MP32" s="945"/>
      <c r="MQ32" s="945"/>
      <c r="MR32" s="945"/>
      <c r="MS32" s="945"/>
      <c r="MT32" s="945"/>
      <c r="MU32" s="945"/>
      <c r="MV32" s="945"/>
      <c r="MW32" s="945"/>
      <c r="MX32" s="945"/>
      <c r="MY32" s="945"/>
      <c r="MZ32" s="945"/>
      <c r="NA32" s="945"/>
      <c r="NB32" s="945"/>
      <c r="NC32" s="945"/>
      <c r="ND32" s="945"/>
      <c r="NE32" s="945"/>
      <c r="NF32" s="945"/>
      <c r="NG32" s="945"/>
      <c r="NH32" s="945"/>
      <c r="NI32" s="945"/>
      <c r="NJ32" s="945"/>
      <c r="NK32" s="945"/>
      <c r="NL32" s="945"/>
      <c r="NM32" s="945"/>
      <c r="NN32" s="945"/>
      <c r="NO32" s="945"/>
      <c r="NP32" s="945"/>
      <c r="NQ32" s="945"/>
      <c r="NR32" s="945"/>
      <c r="NS32" s="945"/>
      <c r="NT32" s="945"/>
      <c r="NU32" s="945"/>
      <c r="NV32" s="945"/>
      <c r="NW32" s="945"/>
      <c r="NX32" s="945"/>
      <c r="NY32" s="945"/>
      <c r="NZ32" s="945"/>
      <c r="OA32" s="945"/>
      <c r="OB32" s="945"/>
      <c r="OC32" s="945"/>
      <c r="OD32" s="945"/>
      <c r="OE32" s="945"/>
      <c r="OF32" s="945"/>
      <c r="OG32" s="945"/>
      <c r="OH32" s="945"/>
      <c r="OI32" s="945"/>
      <c r="OJ32" s="945"/>
      <c r="OK32" s="945"/>
      <c r="OL32" s="945"/>
      <c r="OM32" s="945"/>
      <c r="ON32" s="945"/>
      <c r="OO32" s="945"/>
      <c r="OP32" s="945"/>
      <c r="OQ32" s="945"/>
      <c r="OR32" s="945"/>
      <c r="OS32" s="945"/>
      <c r="OT32" s="945"/>
      <c r="OU32" s="945"/>
      <c r="OV32" s="945"/>
      <c r="OW32" s="945"/>
      <c r="OX32" s="945"/>
      <c r="OY32" s="945"/>
      <c r="OZ32" s="945"/>
      <c r="PA32" s="945"/>
      <c r="PB32" s="945"/>
      <c r="PC32" s="945"/>
      <c r="PD32" s="945"/>
      <c r="PE32" s="945"/>
      <c r="PF32" s="945"/>
      <c r="PG32" s="945"/>
      <c r="PH32" s="945"/>
      <c r="PI32" s="945"/>
      <c r="PJ32" s="945"/>
      <c r="PK32" s="945"/>
      <c r="PL32" s="945"/>
      <c r="PM32" s="945"/>
      <c r="PN32" s="945"/>
      <c r="PO32" s="945"/>
    </row>
    <row r="33" spans="1:431" s="165" customFormat="1">
      <c r="A33" s="945"/>
      <c r="B33" s="945"/>
      <c r="C33" s="948"/>
      <c r="D33" s="948"/>
      <c r="E33" s="948"/>
      <c r="F33" s="948"/>
      <c r="G33" s="948"/>
      <c r="H33" s="948"/>
      <c r="I33" s="948"/>
      <c r="J33" s="948"/>
      <c r="K33" s="948"/>
      <c r="L33" s="948"/>
      <c r="M33" s="945"/>
      <c r="N33" s="945"/>
      <c r="O33" s="945"/>
      <c r="P33" s="945"/>
      <c r="Q33" s="945"/>
      <c r="R33" s="945"/>
      <c r="S33" s="945"/>
      <c r="T33" s="945"/>
      <c r="U33" s="945"/>
      <c r="V33" s="945"/>
      <c r="W33" s="945"/>
      <c r="X33" s="945"/>
      <c r="Y33" s="945"/>
      <c r="Z33" s="945"/>
      <c r="AA33" s="945"/>
      <c r="AB33" s="945"/>
      <c r="AC33" s="945"/>
      <c r="AD33" s="945"/>
      <c r="AE33" s="945"/>
      <c r="AF33" s="945"/>
      <c r="AG33" s="945"/>
      <c r="AH33" s="945"/>
      <c r="AI33" s="945"/>
      <c r="AJ33" s="945"/>
      <c r="AK33" s="945"/>
      <c r="AL33" s="945"/>
      <c r="AM33" s="945"/>
      <c r="AN33" s="945"/>
      <c r="AO33" s="945"/>
      <c r="AP33" s="945"/>
      <c r="AQ33" s="945"/>
      <c r="AR33" s="945"/>
      <c r="AS33" s="945"/>
      <c r="AT33" s="945"/>
      <c r="AU33" s="945"/>
      <c r="AV33" s="945"/>
      <c r="AW33" s="945"/>
      <c r="AX33" s="945"/>
      <c r="AY33" s="945"/>
      <c r="AZ33" s="945"/>
      <c r="BA33" s="945"/>
      <c r="BB33" s="945"/>
      <c r="BC33" s="945"/>
      <c r="BD33" s="945"/>
      <c r="BE33" s="945"/>
      <c r="BF33" s="945"/>
      <c r="BG33" s="945"/>
      <c r="BH33" s="945"/>
      <c r="BI33" s="945"/>
      <c r="BJ33" s="945"/>
      <c r="BK33" s="945"/>
      <c r="BL33" s="945"/>
      <c r="BM33" s="945"/>
      <c r="BN33" s="945"/>
      <c r="BO33" s="945"/>
      <c r="BP33" s="945"/>
      <c r="BQ33" s="945"/>
      <c r="BR33" s="945"/>
      <c r="BS33" s="945"/>
      <c r="BT33" s="945"/>
      <c r="BU33" s="945"/>
      <c r="BV33" s="945"/>
      <c r="BW33" s="945"/>
      <c r="BX33" s="945"/>
      <c r="BY33" s="945"/>
      <c r="BZ33" s="945"/>
      <c r="CA33" s="945"/>
      <c r="CB33" s="945"/>
      <c r="CC33" s="945"/>
      <c r="CD33" s="945"/>
      <c r="CE33" s="945"/>
      <c r="CF33" s="945"/>
      <c r="CG33" s="945"/>
      <c r="CH33" s="945"/>
      <c r="CI33" s="945"/>
      <c r="CJ33" s="945"/>
      <c r="CK33" s="945"/>
      <c r="CL33" s="945"/>
      <c r="CM33" s="945"/>
      <c r="CN33" s="945"/>
      <c r="CO33" s="945"/>
      <c r="CP33" s="945"/>
      <c r="CQ33" s="945"/>
      <c r="CR33" s="945"/>
      <c r="CS33" s="945"/>
      <c r="CT33" s="945"/>
      <c r="CU33" s="945"/>
      <c r="CV33" s="945"/>
      <c r="CW33" s="945"/>
      <c r="CX33" s="945"/>
      <c r="CY33" s="945"/>
      <c r="CZ33" s="945"/>
      <c r="DA33" s="945"/>
      <c r="DB33" s="945"/>
      <c r="DC33" s="945"/>
      <c r="DD33" s="945"/>
      <c r="DE33" s="945"/>
      <c r="DF33" s="945"/>
      <c r="DG33" s="945"/>
      <c r="DH33" s="945"/>
      <c r="DI33" s="945"/>
      <c r="DJ33" s="945"/>
      <c r="DK33" s="945"/>
      <c r="DL33" s="945"/>
      <c r="DM33" s="945"/>
      <c r="DN33" s="945"/>
      <c r="DO33" s="945"/>
      <c r="DP33" s="945"/>
      <c r="DQ33" s="945"/>
      <c r="DR33" s="945"/>
      <c r="DS33" s="945"/>
      <c r="DT33" s="945"/>
      <c r="DU33" s="945"/>
      <c r="DV33" s="945"/>
      <c r="DW33" s="945"/>
      <c r="DX33" s="945"/>
      <c r="DY33" s="945"/>
      <c r="DZ33" s="945"/>
      <c r="EA33" s="945"/>
      <c r="EB33" s="945"/>
      <c r="EC33" s="945"/>
      <c r="ED33" s="945"/>
      <c r="EE33" s="945"/>
      <c r="EF33" s="945"/>
      <c r="EG33" s="945"/>
      <c r="EH33" s="945"/>
      <c r="EI33" s="945"/>
      <c r="EJ33" s="945"/>
      <c r="EK33" s="945"/>
      <c r="EL33" s="945"/>
      <c r="EM33" s="945"/>
      <c r="EN33" s="945"/>
      <c r="EO33" s="945"/>
      <c r="EP33" s="945"/>
      <c r="EQ33" s="945"/>
      <c r="ER33" s="945"/>
      <c r="ES33" s="945"/>
      <c r="ET33" s="945"/>
      <c r="EU33" s="945"/>
      <c r="EV33" s="945"/>
      <c r="EW33" s="945"/>
      <c r="EX33" s="945"/>
      <c r="EY33" s="945"/>
      <c r="EZ33" s="945"/>
      <c r="FA33" s="945"/>
      <c r="FB33" s="945"/>
      <c r="FC33" s="945"/>
      <c r="FD33" s="945"/>
      <c r="FE33" s="945"/>
      <c r="FF33" s="945"/>
      <c r="FG33" s="945"/>
      <c r="FH33" s="945"/>
      <c r="FI33" s="945"/>
      <c r="FJ33" s="945"/>
      <c r="FK33" s="945"/>
      <c r="FL33" s="945"/>
      <c r="FM33" s="945"/>
      <c r="FN33" s="945"/>
      <c r="FO33" s="945"/>
      <c r="FP33" s="945"/>
      <c r="FQ33" s="945"/>
      <c r="FR33" s="945"/>
      <c r="FS33" s="945"/>
      <c r="FT33" s="945"/>
      <c r="FU33" s="945"/>
      <c r="FV33" s="945"/>
      <c r="FW33" s="945"/>
      <c r="FX33" s="945"/>
      <c r="FY33" s="945"/>
      <c r="FZ33" s="945"/>
      <c r="GA33" s="945"/>
      <c r="GB33" s="945"/>
      <c r="GC33" s="945"/>
      <c r="GD33" s="945"/>
      <c r="GE33" s="945"/>
      <c r="GF33" s="945"/>
      <c r="GG33" s="945"/>
      <c r="GH33" s="945"/>
      <c r="GI33" s="945"/>
      <c r="GJ33" s="945"/>
      <c r="GK33" s="945"/>
      <c r="GL33" s="945"/>
      <c r="GM33" s="945"/>
      <c r="GN33" s="945"/>
      <c r="GO33" s="945"/>
      <c r="GP33" s="945"/>
      <c r="GQ33" s="945"/>
      <c r="GR33" s="945"/>
      <c r="GS33" s="945"/>
      <c r="GT33" s="945"/>
      <c r="GU33" s="945"/>
      <c r="GV33" s="945"/>
      <c r="GW33" s="945"/>
      <c r="GX33" s="945"/>
      <c r="GY33" s="945"/>
      <c r="GZ33" s="945"/>
      <c r="HA33" s="945"/>
      <c r="HB33" s="945"/>
      <c r="HC33" s="945"/>
      <c r="HD33" s="945"/>
      <c r="HE33" s="945"/>
      <c r="HF33" s="945"/>
      <c r="HG33" s="945"/>
      <c r="HH33" s="945"/>
      <c r="HI33" s="945"/>
      <c r="HJ33" s="945"/>
      <c r="HK33" s="945"/>
      <c r="HL33" s="945"/>
      <c r="HM33" s="945"/>
      <c r="HN33" s="945"/>
      <c r="HO33" s="945"/>
      <c r="HP33" s="945"/>
      <c r="HQ33" s="945"/>
      <c r="HR33" s="945"/>
      <c r="HS33" s="945"/>
      <c r="HT33" s="945"/>
      <c r="HU33" s="945"/>
      <c r="HV33" s="945"/>
      <c r="HW33" s="945"/>
      <c r="HX33" s="945"/>
      <c r="HY33" s="945"/>
      <c r="HZ33" s="945"/>
      <c r="IA33" s="945"/>
      <c r="IB33" s="945"/>
      <c r="IC33" s="945"/>
      <c r="ID33" s="945"/>
      <c r="IE33" s="945"/>
      <c r="IF33" s="945"/>
      <c r="IG33" s="945"/>
      <c r="IH33" s="945"/>
      <c r="II33" s="945"/>
      <c r="IJ33" s="945"/>
      <c r="IK33" s="945"/>
      <c r="IL33" s="945"/>
      <c r="IM33" s="945"/>
      <c r="IN33" s="945"/>
      <c r="IO33" s="945"/>
      <c r="IP33" s="945"/>
      <c r="IQ33" s="945"/>
      <c r="IR33" s="945"/>
      <c r="IS33" s="945"/>
      <c r="IT33" s="945"/>
      <c r="IU33" s="945"/>
      <c r="IV33" s="945"/>
      <c r="IW33" s="945"/>
      <c r="IX33" s="945"/>
      <c r="IY33" s="945"/>
      <c r="IZ33" s="945"/>
      <c r="JA33" s="945"/>
      <c r="JB33" s="945"/>
      <c r="JC33" s="945"/>
      <c r="JD33" s="945"/>
      <c r="JE33" s="945"/>
      <c r="JF33" s="945"/>
      <c r="JG33" s="945"/>
      <c r="JH33" s="945"/>
      <c r="JI33" s="945"/>
      <c r="JJ33" s="945"/>
      <c r="JK33" s="945"/>
      <c r="JL33" s="945"/>
      <c r="JM33" s="945"/>
      <c r="JN33" s="945"/>
      <c r="JO33" s="945"/>
      <c r="JP33" s="945"/>
      <c r="JQ33" s="945"/>
      <c r="JR33" s="945"/>
      <c r="JS33" s="945"/>
      <c r="JT33" s="945"/>
      <c r="JU33" s="945"/>
      <c r="JV33" s="945"/>
      <c r="JW33" s="945"/>
      <c r="JX33" s="945"/>
      <c r="JY33" s="945"/>
      <c r="JZ33" s="945"/>
      <c r="KA33" s="945"/>
      <c r="KB33" s="945"/>
      <c r="KC33" s="945"/>
      <c r="KD33" s="945"/>
      <c r="KE33" s="945"/>
      <c r="KF33" s="945"/>
      <c r="KG33" s="945"/>
      <c r="KH33" s="945"/>
      <c r="KI33" s="945"/>
      <c r="KJ33" s="945"/>
      <c r="KK33" s="945"/>
      <c r="KL33" s="945"/>
      <c r="KM33" s="945"/>
      <c r="KN33" s="945"/>
      <c r="KO33" s="945"/>
      <c r="KP33" s="945"/>
      <c r="KQ33" s="945"/>
      <c r="KR33" s="945"/>
      <c r="KS33" s="945"/>
      <c r="KT33" s="945"/>
      <c r="KU33" s="945"/>
      <c r="KV33" s="945"/>
      <c r="KW33" s="945"/>
      <c r="KX33" s="945"/>
      <c r="KY33" s="945"/>
      <c r="KZ33" s="945"/>
      <c r="LA33" s="945"/>
      <c r="LB33" s="945"/>
      <c r="LC33" s="945"/>
      <c r="LD33" s="945"/>
      <c r="LE33" s="945"/>
      <c r="LF33" s="945"/>
      <c r="LG33" s="945"/>
      <c r="LH33" s="945"/>
      <c r="LI33" s="945"/>
      <c r="LJ33" s="945"/>
      <c r="LK33" s="945"/>
      <c r="LL33" s="945"/>
      <c r="LM33" s="945"/>
      <c r="LN33" s="945"/>
      <c r="LO33" s="945"/>
      <c r="LP33" s="945"/>
      <c r="LQ33" s="945"/>
      <c r="LR33" s="945"/>
      <c r="LS33" s="945"/>
      <c r="LT33" s="945"/>
      <c r="LU33" s="945"/>
      <c r="LV33" s="945"/>
      <c r="LW33" s="945"/>
      <c r="LX33" s="945"/>
      <c r="LY33" s="945"/>
      <c r="LZ33" s="945"/>
      <c r="MA33" s="945"/>
      <c r="MB33" s="945"/>
      <c r="MC33" s="945"/>
      <c r="MD33" s="945"/>
      <c r="ME33" s="945"/>
      <c r="MF33" s="945"/>
      <c r="MG33" s="945"/>
      <c r="MH33" s="945"/>
      <c r="MI33" s="945"/>
      <c r="MJ33" s="945"/>
      <c r="MK33" s="945"/>
      <c r="ML33" s="945"/>
      <c r="MM33" s="945"/>
      <c r="MN33" s="945"/>
      <c r="MO33" s="945"/>
      <c r="MP33" s="945"/>
      <c r="MQ33" s="945"/>
      <c r="MR33" s="945"/>
      <c r="MS33" s="945"/>
      <c r="MT33" s="945"/>
      <c r="MU33" s="945"/>
      <c r="MV33" s="945"/>
      <c r="MW33" s="945"/>
      <c r="MX33" s="945"/>
      <c r="MY33" s="945"/>
      <c r="MZ33" s="945"/>
      <c r="NA33" s="945"/>
      <c r="NB33" s="945"/>
      <c r="NC33" s="945"/>
      <c r="ND33" s="945"/>
      <c r="NE33" s="945"/>
      <c r="NF33" s="945"/>
      <c r="NG33" s="945"/>
      <c r="NH33" s="945"/>
      <c r="NI33" s="945"/>
      <c r="NJ33" s="945"/>
      <c r="NK33" s="945"/>
      <c r="NL33" s="945"/>
      <c r="NM33" s="945"/>
      <c r="NN33" s="945"/>
      <c r="NO33" s="945"/>
      <c r="NP33" s="945"/>
      <c r="NQ33" s="945"/>
      <c r="NR33" s="945"/>
      <c r="NS33" s="945"/>
      <c r="NT33" s="945"/>
      <c r="NU33" s="945"/>
      <c r="NV33" s="945"/>
      <c r="NW33" s="945"/>
      <c r="NX33" s="945"/>
      <c r="NY33" s="945"/>
      <c r="NZ33" s="945"/>
      <c r="OA33" s="945"/>
      <c r="OB33" s="945"/>
      <c r="OC33" s="945"/>
      <c r="OD33" s="945"/>
      <c r="OE33" s="945"/>
      <c r="OF33" s="945"/>
      <c r="OG33" s="945"/>
      <c r="OH33" s="945"/>
      <c r="OI33" s="945"/>
      <c r="OJ33" s="945"/>
      <c r="OK33" s="945"/>
      <c r="OL33" s="945"/>
      <c r="OM33" s="945"/>
      <c r="ON33" s="945"/>
      <c r="OO33" s="945"/>
      <c r="OP33" s="945"/>
      <c r="OQ33" s="945"/>
      <c r="OR33" s="945"/>
      <c r="OS33" s="945"/>
      <c r="OT33" s="945"/>
      <c r="OU33" s="945"/>
      <c r="OV33" s="945"/>
      <c r="OW33" s="945"/>
      <c r="OX33" s="945"/>
      <c r="OY33" s="945"/>
      <c r="OZ33" s="945"/>
      <c r="PA33" s="945"/>
      <c r="PB33" s="945"/>
      <c r="PC33" s="945"/>
      <c r="PD33" s="945"/>
      <c r="PE33" s="945"/>
      <c r="PF33" s="945"/>
      <c r="PG33" s="945"/>
      <c r="PH33" s="945"/>
      <c r="PI33" s="945"/>
      <c r="PJ33" s="945"/>
      <c r="PK33" s="945"/>
      <c r="PL33" s="945"/>
      <c r="PM33" s="945"/>
      <c r="PN33" s="945"/>
      <c r="PO33" s="945"/>
    </row>
    <row r="34" spans="1:431" s="165" customFormat="1">
      <c r="A34" s="945"/>
      <c r="B34" s="945"/>
      <c r="C34" s="948"/>
      <c r="D34" s="948"/>
      <c r="E34" s="948"/>
      <c r="F34" s="948"/>
      <c r="G34" s="948"/>
      <c r="H34" s="948"/>
      <c r="I34" s="948"/>
      <c r="J34" s="948"/>
      <c r="K34" s="948"/>
      <c r="L34" s="948"/>
      <c r="M34" s="945"/>
      <c r="N34" s="945"/>
      <c r="O34" s="945"/>
      <c r="P34" s="945"/>
      <c r="Q34" s="945"/>
      <c r="R34" s="945"/>
      <c r="S34" s="945"/>
      <c r="T34" s="945"/>
      <c r="U34" s="945"/>
      <c r="V34" s="945"/>
      <c r="W34" s="945"/>
      <c r="X34" s="945"/>
      <c r="Y34" s="945"/>
      <c r="Z34" s="945"/>
      <c r="AA34" s="945"/>
      <c r="AB34" s="945"/>
      <c r="AC34" s="945"/>
      <c r="AD34" s="945"/>
      <c r="AE34" s="945"/>
      <c r="AF34" s="945"/>
      <c r="AG34" s="945"/>
      <c r="AH34" s="945"/>
      <c r="AI34" s="945"/>
      <c r="AJ34" s="945"/>
      <c r="AK34" s="945"/>
      <c r="AL34" s="945"/>
      <c r="AM34" s="945"/>
      <c r="AN34" s="945"/>
      <c r="AO34" s="945"/>
      <c r="AP34" s="945"/>
      <c r="AQ34" s="945"/>
      <c r="AR34" s="945"/>
      <c r="AS34" s="945"/>
      <c r="AT34" s="945"/>
      <c r="AU34" s="945"/>
      <c r="AV34" s="945"/>
      <c r="AW34" s="945"/>
      <c r="AX34" s="945"/>
      <c r="AY34" s="945"/>
      <c r="AZ34" s="945"/>
      <c r="BA34" s="945"/>
      <c r="BB34" s="945"/>
      <c r="BC34" s="945"/>
      <c r="BD34" s="945"/>
      <c r="BE34" s="945"/>
      <c r="BF34" s="945"/>
      <c r="BG34" s="945"/>
      <c r="BH34" s="945"/>
      <c r="BI34" s="945"/>
      <c r="BJ34" s="945"/>
      <c r="BK34" s="945"/>
      <c r="BL34" s="945"/>
      <c r="BM34" s="945"/>
      <c r="BN34" s="945"/>
      <c r="BO34" s="945"/>
      <c r="BP34" s="945"/>
      <c r="BQ34" s="945"/>
      <c r="BR34" s="945"/>
      <c r="BS34" s="945"/>
      <c r="BT34" s="945"/>
      <c r="BU34" s="945"/>
      <c r="BV34" s="945"/>
      <c r="BW34" s="945"/>
      <c r="BX34" s="945"/>
      <c r="BY34" s="945"/>
      <c r="BZ34" s="945"/>
      <c r="CA34" s="945"/>
      <c r="CB34" s="945"/>
      <c r="CC34" s="945"/>
      <c r="CD34" s="945"/>
      <c r="CE34" s="945"/>
      <c r="CF34" s="945"/>
      <c r="CG34" s="945"/>
      <c r="CH34" s="945"/>
      <c r="CI34" s="945"/>
      <c r="CJ34" s="945"/>
      <c r="CK34" s="945"/>
      <c r="CL34" s="945"/>
      <c r="CM34" s="945"/>
      <c r="CN34" s="945"/>
      <c r="CO34" s="945"/>
      <c r="CP34" s="945"/>
      <c r="CQ34" s="945"/>
      <c r="CR34" s="945"/>
      <c r="CS34" s="945"/>
      <c r="CT34" s="945"/>
      <c r="CU34" s="945"/>
      <c r="CV34" s="945"/>
      <c r="CW34" s="945"/>
      <c r="CX34" s="945"/>
      <c r="CY34" s="945"/>
      <c r="CZ34" s="945"/>
      <c r="DA34" s="945"/>
      <c r="DB34" s="945"/>
      <c r="DC34" s="945"/>
      <c r="DD34" s="945"/>
      <c r="DE34" s="945"/>
      <c r="DF34" s="945"/>
      <c r="DG34" s="945"/>
      <c r="DH34" s="945"/>
      <c r="DI34" s="945"/>
      <c r="DJ34" s="945"/>
      <c r="DK34" s="945"/>
      <c r="DL34" s="945"/>
      <c r="DM34" s="945"/>
      <c r="DN34" s="945"/>
      <c r="DO34" s="945"/>
      <c r="DP34" s="945"/>
      <c r="DQ34" s="945"/>
      <c r="DR34" s="945"/>
      <c r="DS34" s="945"/>
      <c r="DT34" s="945"/>
      <c r="DU34" s="945"/>
      <c r="DV34" s="945"/>
      <c r="DW34" s="945"/>
      <c r="DX34" s="945"/>
      <c r="DY34" s="945"/>
      <c r="DZ34" s="945"/>
      <c r="EA34" s="945"/>
      <c r="EB34" s="945"/>
      <c r="EC34" s="945"/>
      <c r="ED34" s="945"/>
      <c r="EE34" s="945"/>
      <c r="EF34" s="945"/>
      <c r="EG34" s="945"/>
      <c r="EH34" s="945"/>
      <c r="EI34" s="945"/>
      <c r="EJ34" s="945"/>
      <c r="EK34" s="945"/>
      <c r="EL34" s="945"/>
      <c r="EM34" s="945"/>
      <c r="EN34" s="945"/>
      <c r="EO34" s="945"/>
      <c r="EP34" s="945"/>
      <c r="EQ34" s="945"/>
      <c r="ER34" s="945"/>
      <c r="ES34" s="945"/>
      <c r="ET34" s="945"/>
      <c r="EU34" s="945"/>
      <c r="EV34" s="945"/>
      <c r="EW34" s="945"/>
      <c r="EX34" s="945"/>
      <c r="EY34" s="945"/>
      <c r="EZ34" s="945"/>
      <c r="FA34" s="945"/>
      <c r="FB34" s="945"/>
      <c r="FC34" s="945"/>
      <c r="FD34" s="945"/>
      <c r="FE34" s="945"/>
      <c r="FF34" s="945"/>
      <c r="FG34" s="945"/>
      <c r="FH34" s="945"/>
      <c r="FI34" s="945"/>
      <c r="FJ34" s="945"/>
      <c r="FK34" s="945"/>
      <c r="FL34" s="945"/>
      <c r="FM34" s="945"/>
      <c r="FN34" s="945"/>
      <c r="FO34" s="945"/>
      <c r="FP34" s="945"/>
      <c r="FQ34" s="945"/>
      <c r="FR34" s="945"/>
      <c r="FS34" s="945"/>
      <c r="FT34" s="945"/>
      <c r="FU34" s="945"/>
      <c r="FV34" s="945"/>
      <c r="FW34" s="945"/>
      <c r="FX34" s="945"/>
      <c r="FY34" s="945"/>
      <c r="FZ34" s="945"/>
      <c r="GA34" s="945"/>
      <c r="GB34" s="945"/>
      <c r="GC34" s="945"/>
      <c r="GD34" s="945"/>
      <c r="GE34" s="945"/>
      <c r="GF34" s="945"/>
      <c r="GG34" s="945"/>
      <c r="GH34" s="945"/>
      <c r="GI34" s="945"/>
      <c r="GJ34" s="945"/>
      <c r="GK34" s="945"/>
      <c r="GL34" s="945"/>
      <c r="GM34" s="945"/>
      <c r="GN34" s="945"/>
      <c r="GO34" s="945"/>
      <c r="GP34" s="945"/>
      <c r="GQ34" s="945"/>
      <c r="GR34" s="945"/>
      <c r="GS34" s="945"/>
      <c r="GT34" s="945"/>
      <c r="GU34" s="945"/>
      <c r="GV34" s="945"/>
      <c r="GW34" s="945"/>
      <c r="GX34" s="945"/>
      <c r="GY34" s="945"/>
      <c r="GZ34" s="945"/>
      <c r="HA34" s="945"/>
      <c r="HB34" s="945"/>
      <c r="HC34" s="945"/>
      <c r="HD34" s="945"/>
      <c r="HE34" s="945"/>
      <c r="HF34" s="945"/>
      <c r="HG34" s="945"/>
      <c r="HH34" s="945"/>
      <c r="HI34" s="945"/>
      <c r="HJ34" s="945"/>
      <c r="HK34" s="945"/>
      <c r="HL34" s="945"/>
      <c r="HM34" s="945"/>
      <c r="HN34" s="945"/>
      <c r="HO34" s="945"/>
      <c r="HP34" s="945"/>
      <c r="HQ34" s="945"/>
      <c r="HR34" s="945"/>
      <c r="HS34" s="945"/>
      <c r="HT34" s="945"/>
      <c r="HU34" s="945"/>
      <c r="HV34" s="945"/>
      <c r="HW34" s="945"/>
      <c r="HX34" s="945"/>
      <c r="HY34" s="945"/>
      <c r="HZ34" s="945"/>
      <c r="IA34" s="945"/>
      <c r="IB34" s="945"/>
      <c r="IC34" s="945"/>
      <c r="ID34" s="945"/>
      <c r="IE34" s="945"/>
      <c r="IF34" s="945"/>
      <c r="IG34" s="945"/>
      <c r="IH34" s="945"/>
      <c r="II34" s="945"/>
      <c r="IJ34" s="945"/>
      <c r="IK34" s="945"/>
      <c r="IL34" s="945"/>
      <c r="IM34" s="945"/>
      <c r="IN34" s="945"/>
      <c r="IO34" s="945"/>
      <c r="IP34" s="945"/>
      <c r="IQ34" s="945"/>
      <c r="IR34" s="945"/>
      <c r="IS34" s="945"/>
      <c r="IT34" s="945"/>
      <c r="IU34" s="945"/>
      <c r="IV34" s="945"/>
      <c r="IW34" s="945"/>
      <c r="IX34" s="945"/>
      <c r="IY34" s="945"/>
      <c r="IZ34" s="945"/>
      <c r="JA34" s="945"/>
      <c r="JB34" s="945"/>
      <c r="JC34" s="945"/>
      <c r="JD34" s="945"/>
      <c r="JE34" s="945"/>
      <c r="JF34" s="945"/>
      <c r="JG34" s="945"/>
      <c r="JH34" s="945"/>
      <c r="JI34" s="945"/>
      <c r="JJ34" s="945"/>
      <c r="JK34" s="945"/>
      <c r="JL34" s="945"/>
      <c r="JM34" s="945"/>
      <c r="JN34" s="945"/>
      <c r="JO34" s="945"/>
      <c r="JP34" s="945"/>
      <c r="JQ34" s="945"/>
      <c r="JR34" s="945"/>
      <c r="JS34" s="945"/>
      <c r="JT34" s="945"/>
      <c r="JU34" s="945"/>
      <c r="JV34" s="945"/>
      <c r="JW34" s="945"/>
      <c r="JX34" s="945"/>
      <c r="JY34" s="945"/>
      <c r="JZ34" s="945"/>
      <c r="KA34" s="945"/>
      <c r="KB34" s="945"/>
      <c r="KC34" s="945"/>
      <c r="KD34" s="945"/>
      <c r="KE34" s="945"/>
      <c r="KF34" s="945"/>
      <c r="KG34" s="945"/>
      <c r="KH34" s="945"/>
      <c r="KI34" s="945"/>
      <c r="KJ34" s="945"/>
      <c r="KK34" s="945"/>
      <c r="KL34" s="945"/>
      <c r="KM34" s="945"/>
      <c r="KN34" s="945"/>
      <c r="KO34" s="945"/>
      <c r="KP34" s="945"/>
      <c r="KQ34" s="945"/>
      <c r="KR34" s="945"/>
      <c r="KS34" s="945"/>
      <c r="KT34" s="945"/>
      <c r="KU34" s="945"/>
      <c r="KV34" s="945"/>
      <c r="KW34" s="945"/>
      <c r="KX34" s="945"/>
      <c r="KY34" s="945"/>
      <c r="KZ34" s="945"/>
      <c r="LA34" s="945"/>
      <c r="LB34" s="945"/>
      <c r="LC34" s="945"/>
      <c r="LD34" s="945"/>
      <c r="LE34" s="945"/>
      <c r="LF34" s="945"/>
      <c r="LG34" s="945"/>
      <c r="LH34" s="945"/>
      <c r="LI34" s="945"/>
      <c r="LJ34" s="945"/>
      <c r="LK34" s="945"/>
      <c r="LL34" s="945"/>
      <c r="LM34" s="945"/>
      <c r="LN34" s="945"/>
      <c r="LO34" s="945"/>
      <c r="LP34" s="945"/>
      <c r="LQ34" s="945"/>
      <c r="LR34" s="945"/>
      <c r="LS34" s="945"/>
      <c r="LT34" s="945"/>
      <c r="LU34" s="945"/>
      <c r="LV34" s="945"/>
      <c r="LW34" s="945"/>
      <c r="LX34" s="945"/>
      <c r="LY34" s="945"/>
      <c r="LZ34" s="945"/>
      <c r="MA34" s="945"/>
      <c r="MB34" s="945"/>
      <c r="MC34" s="945"/>
      <c r="MD34" s="945"/>
      <c r="ME34" s="945"/>
      <c r="MF34" s="945"/>
      <c r="MG34" s="945"/>
      <c r="MH34" s="945"/>
      <c r="MI34" s="945"/>
      <c r="MJ34" s="945"/>
      <c r="MK34" s="945"/>
      <c r="ML34" s="945"/>
      <c r="MM34" s="945"/>
      <c r="MN34" s="945"/>
      <c r="MO34" s="945"/>
      <c r="MP34" s="945"/>
      <c r="MQ34" s="945"/>
      <c r="MR34" s="945"/>
      <c r="MS34" s="945"/>
      <c r="MT34" s="945"/>
      <c r="MU34" s="945"/>
      <c r="MV34" s="945"/>
      <c r="MW34" s="945"/>
      <c r="MX34" s="945"/>
      <c r="MY34" s="945"/>
      <c r="MZ34" s="945"/>
      <c r="NA34" s="945"/>
      <c r="NB34" s="945"/>
      <c r="NC34" s="945"/>
      <c r="ND34" s="945"/>
      <c r="NE34" s="945"/>
      <c r="NF34" s="945"/>
      <c r="NG34" s="945"/>
      <c r="NH34" s="945"/>
      <c r="NI34" s="945"/>
      <c r="NJ34" s="945"/>
      <c r="NK34" s="945"/>
      <c r="NL34" s="945"/>
      <c r="NM34" s="945"/>
      <c r="NN34" s="945"/>
      <c r="NO34" s="945"/>
      <c r="NP34" s="945"/>
      <c r="NQ34" s="945"/>
      <c r="NR34" s="945"/>
      <c r="NS34" s="945"/>
      <c r="NT34" s="945"/>
      <c r="NU34" s="945"/>
      <c r="NV34" s="945"/>
      <c r="NW34" s="945"/>
      <c r="NX34" s="945"/>
      <c r="NY34" s="945"/>
      <c r="NZ34" s="945"/>
      <c r="OA34" s="945"/>
      <c r="OB34" s="945"/>
      <c r="OC34" s="945"/>
      <c r="OD34" s="945"/>
      <c r="OE34" s="945"/>
      <c r="OF34" s="945"/>
      <c r="OG34" s="945"/>
      <c r="OH34" s="945"/>
      <c r="OI34" s="945"/>
      <c r="OJ34" s="945"/>
      <c r="OK34" s="945"/>
      <c r="OL34" s="945"/>
      <c r="OM34" s="945"/>
      <c r="ON34" s="945"/>
      <c r="OO34" s="945"/>
      <c r="OP34" s="945"/>
      <c r="OQ34" s="945"/>
      <c r="OR34" s="945"/>
      <c r="OS34" s="945"/>
      <c r="OT34" s="945"/>
      <c r="OU34" s="945"/>
      <c r="OV34" s="945"/>
      <c r="OW34" s="945"/>
      <c r="OX34" s="945"/>
      <c r="OY34" s="945"/>
      <c r="OZ34" s="945"/>
      <c r="PA34" s="945"/>
      <c r="PB34" s="945"/>
      <c r="PC34" s="945"/>
      <c r="PD34" s="945"/>
      <c r="PE34" s="945"/>
      <c r="PF34" s="945"/>
      <c r="PG34" s="945"/>
      <c r="PH34" s="945"/>
      <c r="PI34" s="945"/>
      <c r="PJ34" s="945"/>
      <c r="PK34" s="945"/>
      <c r="PL34" s="945"/>
      <c r="PM34" s="945"/>
      <c r="PN34" s="945"/>
      <c r="PO34" s="945"/>
    </row>
    <row r="35" spans="1:431" s="165" customFormat="1">
      <c r="A35" s="945"/>
      <c r="B35" s="945"/>
      <c r="C35" s="948"/>
      <c r="D35" s="948"/>
      <c r="E35" s="948"/>
      <c r="F35" s="948"/>
      <c r="G35" s="948"/>
      <c r="H35" s="948"/>
      <c r="I35" s="948"/>
      <c r="J35" s="948"/>
      <c r="K35" s="948"/>
      <c r="L35" s="948"/>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5"/>
      <c r="AY35" s="945"/>
      <c r="AZ35" s="945"/>
      <c r="BA35" s="945"/>
      <c r="BB35" s="945"/>
      <c r="BC35" s="945"/>
      <c r="BD35" s="945"/>
      <c r="BE35" s="945"/>
      <c r="BF35" s="945"/>
      <c r="BG35" s="945"/>
      <c r="BH35" s="945"/>
      <c r="BI35" s="945"/>
      <c r="BJ35" s="945"/>
      <c r="BK35" s="945"/>
      <c r="BL35" s="945"/>
      <c r="BM35" s="945"/>
      <c r="BN35" s="945"/>
      <c r="BO35" s="945"/>
      <c r="BP35" s="945"/>
      <c r="BQ35" s="945"/>
      <c r="BR35" s="945"/>
      <c r="BS35" s="945"/>
      <c r="BT35" s="945"/>
      <c r="BU35" s="945"/>
      <c r="BV35" s="945"/>
      <c r="BW35" s="945"/>
      <c r="BX35" s="945"/>
      <c r="BY35" s="945"/>
      <c r="BZ35" s="945"/>
      <c r="CA35" s="945"/>
      <c r="CB35" s="945"/>
      <c r="CC35" s="945"/>
      <c r="CD35" s="945"/>
      <c r="CE35" s="945"/>
      <c r="CF35" s="945"/>
      <c r="CG35" s="945"/>
      <c r="CH35" s="945"/>
      <c r="CI35" s="945"/>
      <c r="CJ35" s="945"/>
      <c r="CK35" s="945"/>
      <c r="CL35" s="945"/>
      <c r="CM35" s="945"/>
      <c r="CN35" s="945"/>
      <c r="CO35" s="945"/>
      <c r="CP35" s="945"/>
      <c r="CQ35" s="945"/>
      <c r="CR35" s="945"/>
      <c r="CS35" s="945"/>
      <c r="CT35" s="945"/>
      <c r="CU35" s="945"/>
      <c r="CV35" s="945"/>
      <c r="CW35" s="945"/>
      <c r="CX35" s="945"/>
      <c r="CY35" s="945"/>
      <c r="CZ35" s="945"/>
      <c r="DA35" s="945"/>
      <c r="DB35" s="945"/>
      <c r="DC35" s="945"/>
      <c r="DD35" s="945"/>
      <c r="DE35" s="945"/>
      <c r="DF35" s="945"/>
      <c r="DG35" s="945"/>
      <c r="DH35" s="945"/>
      <c r="DI35" s="945"/>
      <c r="DJ35" s="945"/>
      <c r="DK35" s="945"/>
      <c r="DL35" s="945"/>
      <c r="DM35" s="945"/>
      <c r="DN35" s="945"/>
      <c r="DO35" s="945"/>
      <c r="DP35" s="945"/>
      <c r="DQ35" s="945"/>
      <c r="DR35" s="945"/>
      <c r="DS35" s="945"/>
      <c r="DT35" s="945"/>
      <c r="DU35" s="945"/>
      <c r="DV35" s="945"/>
      <c r="DW35" s="945"/>
      <c r="DX35" s="945"/>
      <c r="DY35" s="945"/>
      <c r="DZ35" s="945"/>
      <c r="EA35" s="945"/>
      <c r="EB35" s="945"/>
      <c r="EC35" s="945"/>
      <c r="ED35" s="945"/>
      <c r="EE35" s="945"/>
      <c r="EF35" s="945"/>
      <c r="EG35" s="945"/>
      <c r="EH35" s="945"/>
      <c r="EI35" s="945"/>
      <c r="EJ35" s="945"/>
      <c r="EK35" s="945"/>
      <c r="EL35" s="945"/>
      <c r="EM35" s="945"/>
      <c r="EN35" s="945"/>
      <c r="EO35" s="945"/>
      <c r="EP35" s="945"/>
      <c r="EQ35" s="945"/>
      <c r="ER35" s="945"/>
      <c r="ES35" s="945"/>
      <c r="ET35" s="945"/>
      <c r="EU35" s="945"/>
      <c r="EV35" s="945"/>
      <c r="EW35" s="945"/>
      <c r="EX35" s="945"/>
      <c r="EY35" s="945"/>
      <c r="EZ35" s="945"/>
      <c r="FA35" s="945"/>
      <c r="FB35" s="945"/>
      <c r="FC35" s="945"/>
      <c r="FD35" s="945"/>
      <c r="FE35" s="945"/>
      <c r="FF35" s="945"/>
      <c r="FG35" s="945"/>
      <c r="FH35" s="945"/>
      <c r="FI35" s="945"/>
      <c r="FJ35" s="945"/>
      <c r="FK35" s="945"/>
      <c r="FL35" s="945"/>
      <c r="FM35" s="945"/>
      <c r="FN35" s="945"/>
      <c r="FO35" s="945"/>
      <c r="FP35" s="945"/>
      <c r="FQ35" s="945"/>
      <c r="FR35" s="945"/>
      <c r="FS35" s="945"/>
      <c r="FT35" s="945"/>
      <c r="FU35" s="945"/>
      <c r="FV35" s="945"/>
      <c r="FW35" s="945"/>
      <c r="FX35" s="945"/>
      <c r="FY35" s="945"/>
      <c r="FZ35" s="945"/>
      <c r="GA35" s="945"/>
      <c r="GB35" s="945"/>
      <c r="GC35" s="945"/>
      <c r="GD35" s="945"/>
      <c r="GE35" s="945"/>
      <c r="GF35" s="945"/>
      <c r="GG35" s="945"/>
      <c r="GH35" s="945"/>
      <c r="GI35" s="945"/>
      <c r="GJ35" s="945"/>
      <c r="GK35" s="945"/>
      <c r="GL35" s="945"/>
      <c r="GM35" s="945"/>
      <c r="GN35" s="945"/>
      <c r="GO35" s="945"/>
      <c r="GP35" s="945"/>
      <c r="GQ35" s="945"/>
      <c r="GR35" s="945"/>
      <c r="GS35" s="945"/>
      <c r="GT35" s="945"/>
      <c r="GU35" s="945"/>
      <c r="GV35" s="945"/>
      <c r="GW35" s="945"/>
      <c r="GX35" s="945"/>
      <c r="GY35" s="945"/>
      <c r="GZ35" s="945"/>
      <c r="HA35" s="945"/>
      <c r="HB35" s="945"/>
      <c r="HC35" s="945"/>
      <c r="HD35" s="945"/>
      <c r="HE35" s="945"/>
      <c r="HF35" s="945"/>
      <c r="HG35" s="945"/>
      <c r="HH35" s="945"/>
      <c r="HI35" s="945"/>
      <c r="HJ35" s="945"/>
      <c r="HK35" s="945"/>
      <c r="HL35" s="945"/>
      <c r="HM35" s="945"/>
      <c r="HN35" s="945"/>
      <c r="HO35" s="945"/>
      <c r="HP35" s="945"/>
      <c r="HQ35" s="945"/>
      <c r="HR35" s="945"/>
      <c r="HS35" s="945"/>
      <c r="HT35" s="945"/>
      <c r="HU35" s="945"/>
      <c r="HV35" s="945"/>
      <c r="HW35" s="945"/>
      <c r="HX35" s="945"/>
      <c r="HY35" s="945"/>
      <c r="HZ35" s="945"/>
      <c r="IA35" s="945"/>
      <c r="IB35" s="945"/>
      <c r="IC35" s="945"/>
      <c r="ID35" s="945"/>
      <c r="IE35" s="945"/>
      <c r="IF35" s="945"/>
      <c r="IG35" s="945"/>
      <c r="IH35" s="945"/>
      <c r="II35" s="945"/>
      <c r="IJ35" s="945"/>
      <c r="IK35" s="945"/>
      <c r="IL35" s="945"/>
      <c r="IM35" s="945"/>
      <c r="IN35" s="945"/>
      <c r="IO35" s="945"/>
      <c r="IP35" s="945"/>
      <c r="IQ35" s="945"/>
      <c r="IR35" s="945"/>
      <c r="IS35" s="945"/>
      <c r="IT35" s="945"/>
      <c r="IU35" s="945"/>
      <c r="IV35" s="945"/>
      <c r="IW35" s="945"/>
      <c r="IX35" s="945"/>
      <c r="IY35" s="945"/>
      <c r="IZ35" s="945"/>
      <c r="JA35" s="945"/>
      <c r="JB35" s="945"/>
      <c r="JC35" s="945"/>
      <c r="JD35" s="945"/>
      <c r="JE35" s="945"/>
      <c r="JF35" s="945"/>
      <c r="JG35" s="945"/>
      <c r="JH35" s="945"/>
      <c r="JI35" s="945"/>
      <c r="JJ35" s="945"/>
      <c r="JK35" s="945"/>
      <c r="JL35" s="945"/>
      <c r="JM35" s="945"/>
      <c r="JN35" s="945"/>
      <c r="JO35" s="945"/>
      <c r="JP35" s="945"/>
      <c r="JQ35" s="945"/>
      <c r="JR35" s="945"/>
      <c r="JS35" s="945"/>
      <c r="JT35" s="945"/>
      <c r="JU35" s="945"/>
      <c r="JV35" s="945"/>
      <c r="JW35" s="945"/>
      <c r="JX35" s="945"/>
      <c r="JY35" s="945"/>
      <c r="JZ35" s="945"/>
      <c r="KA35" s="945"/>
      <c r="KB35" s="945"/>
      <c r="KC35" s="945"/>
      <c r="KD35" s="945"/>
      <c r="KE35" s="945"/>
      <c r="KF35" s="945"/>
      <c r="KG35" s="945"/>
      <c r="KH35" s="945"/>
      <c r="KI35" s="945"/>
      <c r="KJ35" s="945"/>
      <c r="KK35" s="945"/>
      <c r="KL35" s="945"/>
      <c r="KM35" s="945"/>
      <c r="KN35" s="945"/>
      <c r="KO35" s="945"/>
      <c r="KP35" s="945"/>
      <c r="KQ35" s="945"/>
      <c r="KR35" s="945"/>
      <c r="KS35" s="945"/>
      <c r="KT35" s="945"/>
      <c r="KU35" s="945"/>
      <c r="KV35" s="945"/>
      <c r="KW35" s="945"/>
      <c r="KX35" s="945"/>
      <c r="KY35" s="945"/>
      <c r="KZ35" s="945"/>
      <c r="LA35" s="945"/>
      <c r="LB35" s="945"/>
      <c r="LC35" s="945"/>
      <c r="LD35" s="945"/>
      <c r="LE35" s="945"/>
      <c r="LF35" s="945"/>
      <c r="LG35" s="945"/>
      <c r="LH35" s="945"/>
      <c r="LI35" s="945"/>
      <c r="LJ35" s="945"/>
      <c r="LK35" s="945"/>
      <c r="LL35" s="945"/>
      <c r="LM35" s="945"/>
      <c r="LN35" s="945"/>
      <c r="LO35" s="945"/>
      <c r="LP35" s="945"/>
      <c r="LQ35" s="945"/>
      <c r="LR35" s="945"/>
      <c r="LS35" s="945"/>
      <c r="LT35" s="945"/>
      <c r="LU35" s="945"/>
      <c r="LV35" s="945"/>
      <c r="LW35" s="945"/>
      <c r="LX35" s="945"/>
      <c r="LY35" s="945"/>
      <c r="LZ35" s="945"/>
      <c r="MA35" s="945"/>
      <c r="MB35" s="945"/>
      <c r="MC35" s="945"/>
      <c r="MD35" s="945"/>
      <c r="ME35" s="945"/>
      <c r="MF35" s="945"/>
      <c r="MG35" s="945"/>
      <c r="MH35" s="945"/>
      <c r="MI35" s="945"/>
      <c r="MJ35" s="945"/>
      <c r="MK35" s="945"/>
      <c r="ML35" s="945"/>
      <c r="MM35" s="945"/>
      <c r="MN35" s="945"/>
      <c r="MO35" s="945"/>
      <c r="MP35" s="945"/>
      <c r="MQ35" s="945"/>
      <c r="MR35" s="945"/>
      <c r="MS35" s="945"/>
      <c r="MT35" s="945"/>
      <c r="MU35" s="945"/>
      <c r="MV35" s="945"/>
      <c r="MW35" s="945"/>
      <c r="MX35" s="945"/>
      <c r="MY35" s="945"/>
      <c r="MZ35" s="945"/>
      <c r="NA35" s="945"/>
      <c r="NB35" s="945"/>
      <c r="NC35" s="945"/>
      <c r="ND35" s="945"/>
      <c r="NE35" s="945"/>
      <c r="NF35" s="945"/>
      <c r="NG35" s="945"/>
      <c r="NH35" s="945"/>
      <c r="NI35" s="945"/>
      <c r="NJ35" s="945"/>
      <c r="NK35" s="945"/>
      <c r="NL35" s="945"/>
      <c r="NM35" s="945"/>
      <c r="NN35" s="945"/>
      <c r="NO35" s="945"/>
      <c r="NP35" s="945"/>
      <c r="NQ35" s="945"/>
      <c r="NR35" s="945"/>
      <c r="NS35" s="945"/>
      <c r="NT35" s="945"/>
      <c r="NU35" s="945"/>
      <c r="NV35" s="945"/>
      <c r="NW35" s="945"/>
      <c r="NX35" s="945"/>
      <c r="NY35" s="945"/>
      <c r="NZ35" s="945"/>
      <c r="OA35" s="945"/>
      <c r="OB35" s="945"/>
      <c r="OC35" s="945"/>
      <c r="OD35" s="945"/>
      <c r="OE35" s="945"/>
      <c r="OF35" s="945"/>
      <c r="OG35" s="945"/>
      <c r="OH35" s="945"/>
      <c r="OI35" s="945"/>
      <c r="OJ35" s="945"/>
      <c r="OK35" s="945"/>
      <c r="OL35" s="945"/>
      <c r="OM35" s="945"/>
      <c r="ON35" s="945"/>
      <c r="OO35" s="945"/>
      <c r="OP35" s="945"/>
      <c r="OQ35" s="945"/>
      <c r="OR35" s="945"/>
      <c r="OS35" s="945"/>
      <c r="OT35" s="945"/>
      <c r="OU35" s="945"/>
      <c r="OV35" s="945"/>
      <c r="OW35" s="945"/>
      <c r="OX35" s="945"/>
      <c r="OY35" s="945"/>
      <c r="OZ35" s="945"/>
      <c r="PA35" s="945"/>
      <c r="PB35" s="945"/>
      <c r="PC35" s="945"/>
      <c r="PD35" s="945"/>
      <c r="PE35" s="945"/>
      <c r="PF35" s="945"/>
      <c r="PG35" s="945"/>
      <c r="PH35" s="945"/>
      <c r="PI35" s="945"/>
      <c r="PJ35" s="945"/>
      <c r="PK35" s="945"/>
      <c r="PL35" s="945"/>
      <c r="PM35" s="945"/>
      <c r="PN35" s="945"/>
      <c r="PO35" s="945"/>
    </row>
    <row r="36" spans="1:431" s="165" customFormat="1">
      <c r="A36" s="945"/>
      <c r="B36" s="945"/>
      <c r="C36" s="948"/>
      <c r="D36" s="948"/>
      <c r="E36" s="948"/>
      <c r="F36" s="948"/>
      <c r="G36" s="948"/>
      <c r="H36" s="948"/>
      <c r="I36" s="948"/>
      <c r="J36" s="948"/>
      <c r="K36" s="948"/>
      <c r="L36" s="948"/>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5"/>
      <c r="AY36" s="945"/>
      <c r="AZ36" s="945"/>
      <c r="BA36" s="945"/>
      <c r="BB36" s="945"/>
      <c r="BC36" s="945"/>
      <c r="BD36" s="945"/>
      <c r="BE36" s="945"/>
      <c r="BF36" s="945"/>
      <c r="BG36" s="945"/>
      <c r="BH36" s="945"/>
      <c r="BI36" s="945"/>
      <c r="BJ36" s="945"/>
      <c r="BK36" s="945"/>
      <c r="BL36" s="945"/>
      <c r="BM36" s="945"/>
      <c r="BN36" s="945"/>
      <c r="BO36" s="945"/>
      <c r="BP36" s="945"/>
      <c r="BQ36" s="945"/>
      <c r="BR36" s="945"/>
      <c r="BS36" s="945"/>
      <c r="BT36" s="945"/>
      <c r="BU36" s="945"/>
      <c r="BV36" s="945"/>
      <c r="BW36" s="945"/>
      <c r="BX36" s="945"/>
      <c r="BY36" s="945"/>
      <c r="BZ36" s="945"/>
      <c r="CA36" s="945"/>
      <c r="CB36" s="945"/>
      <c r="CC36" s="945"/>
      <c r="CD36" s="945"/>
      <c r="CE36" s="945"/>
      <c r="CF36" s="945"/>
      <c r="CG36" s="945"/>
      <c r="CH36" s="945"/>
      <c r="CI36" s="945"/>
      <c r="CJ36" s="945"/>
      <c r="CK36" s="945"/>
      <c r="CL36" s="945"/>
      <c r="CM36" s="945"/>
      <c r="CN36" s="945"/>
      <c r="CO36" s="945"/>
      <c r="CP36" s="945"/>
      <c r="CQ36" s="945"/>
      <c r="CR36" s="945"/>
      <c r="CS36" s="945"/>
      <c r="CT36" s="945"/>
      <c r="CU36" s="945"/>
      <c r="CV36" s="945"/>
      <c r="CW36" s="945"/>
      <c r="CX36" s="945"/>
      <c r="CY36" s="945"/>
      <c r="CZ36" s="945"/>
      <c r="DA36" s="945"/>
      <c r="DB36" s="945"/>
      <c r="DC36" s="945"/>
      <c r="DD36" s="945"/>
      <c r="DE36" s="945"/>
      <c r="DF36" s="945"/>
      <c r="DG36" s="945"/>
      <c r="DH36" s="945"/>
      <c r="DI36" s="945"/>
      <c r="DJ36" s="945"/>
      <c r="DK36" s="945"/>
      <c r="DL36" s="945"/>
      <c r="DM36" s="945"/>
      <c r="DN36" s="945"/>
      <c r="DO36" s="945"/>
      <c r="DP36" s="945"/>
      <c r="DQ36" s="945"/>
      <c r="DR36" s="945"/>
      <c r="DS36" s="945"/>
      <c r="DT36" s="945"/>
      <c r="DU36" s="945"/>
      <c r="DV36" s="945"/>
      <c r="DW36" s="945"/>
      <c r="DX36" s="945"/>
      <c r="DY36" s="945"/>
      <c r="DZ36" s="945"/>
      <c r="EA36" s="945"/>
      <c r="EB36" s="945"/>
      <c r="EC36" s="945"/>
      <c r="ED36" s="945"/>
      <c r="EE36" s="945"/>
      <c r="EF36" s="945"/>
      <c r="EG36" s="945"/>
      <c r="EH36" s="945"/>
      <c r="EI36" s="945"/>
      <c r="EJ36" s="945"/>
      <c r="EK36" s="945"/>
      <c r="EL36" s="945"/>
      <c r="EM36" s="945"/>
      <c r="EN36" s="945"/>
      <c r="EO36" s="945"/>
      <c r="EP36" s="945"/>
      <c r="EQ36" s="945"/>
      <c r="ER36" s="945"/>
      <c r="ES36" s="945"/>
      <c r="ET36" s="945"/>
      <c r="EU36" s="945"/>
      <c r="EV36" s="945"/>
      <c r="EW36" s="945"/>
      <c r="EX36" s="945"/>
      <c r="EY36" s="945"/>
      <c r="EZ36" s="945"/>
      <c r="FA36" s="945"/>
      <c r="FB36" s="945"/>
      <c r="FC36" s="945"/>
      <c r="FD36" s="945"/>
      <c r="FE36" s="945"/>
      <c r="FF36" s="945"/>
      <c r="FG36" s="945"/>
      <c r="FH36" s="945"/>
      <c r="FI36" s="945"/>
      <c r="FJ36" s="945"/>
      <c r="FK36" s="945"/>
      <c r="FL36" s="945"/>
      <c r="FM36" s="945"/>
      <c r="FN36" s="945"/>
      <c r="FO36" s="945"/>
      <c r="FP36" s="945"/>
      <c r="FQ36" s="945"/>
      <c r="FR36" s="945"/>
      <c r="FS36" s="945"/>
      <c r="FT36" s="945"/>
      <c r="FU36" s="945"/>
      <c r="FV36" s="945"/>
      <c r="FW36" s="945"/>
      <c r="FX36" s="945"/>
      <c r="FY36" s="945"/>
      <c r="FZ36" s="945"/>
      <c r="GA36" s="945"/>
      <c r="GB36" s="945"/>
      <c r="GC36" s="945"/>
      <c r="GD36" s="945"/>
      <c r="GE36" s="945"/>
      <c r="GF36" s="945"/>
      <c r="GG36" s="945"/>
      <c r="GH36" s="945"/>
      <c r="GI36" s="945"/>
      <c r="GJ36" s="945"/>
      <c r="GK36" s="945"/>
      <c r="GL36" s="945"/>
      <c r="GM36" s="945"/>
      <c r="GN36" s="945"/>
      <c r="GO36" s="945"/>
      <c r="GP36" s="945"/>
      <c r="GQ36" s="945"/>
      <c r="GR36" s="945"/>
      <c r="GS36" s="945"/>
      <c r="GT36" s="945"/>
      <c r="GU36" s="945"/>
      <c r="GV36" s="945"/>
      <c r="GW36" s="945"/>
      <c r="GX36" s="945"/>
      <c r="GY36" s="945"/>
      <c r="GZ36" s="945"/>
      <c r="HA36" s="945"/>
      <c r="HB36" s="945"/>
      <c r="HC36" s="945"/>
      <c r="HD36" s="945"/>
      <c r="HE36" s="945"/>
      <c r="HF36" s="945"/>
      <c r="HG36" s="945"/>
      <c r="HH36" s="945"/>
      <c r="HI36" s="945"/>
      <c r="HJ36" s="945"/>
      <c r="HK36" s="945"/>
      <c r="HL36" s="945"/>
      <c r="HM36" s="945"/>
      <c r="HN36" s="945"/>
      <c r="HO36" s="945"/>
      <c r="HP36" s="945"/>
      <c r="HQ36" s="945"/>
      <c r="HR36" s="945"/>
      <c r="HS36" s="945"/>
      <c r="HT36" s="945"/>
      <c r="HU36" s="945"/>
      <c r="HV36" s="945"/>
      <c r="HW36" s="945"/>
      <c r="HX36" s="945"/>
      <c r="HY36" s="945"/>
      <c r="HZ36" s="945"/>
      <c r="IA36" s="945"/>
      <c r="IB36" s="945"/>
      <c r="IC36" s="945"/>
      <c r="ID36" s="945"/>
      <c r="IE36" s="945"/>
      <c r="IF36" s="945"/>
      <c r="IG36" s="945"/>
      <c r="IH36" s="945"/>
      <c r="II36" s="945"/>
      <c r="IJ36" s="945"/>
      <c r="IK36" s="945"/>
      <c r="IL36" s="945"/>
      <c r="IM36" s="945"/>
      <c r="IN36" s="945"/>
      <c r="IO36" s="945"/>
      <c r="IP36" s="945"/>
      <c r="IQ36" s="945"/>
      <c r="IR36" s="945"/>
      <c r="IS36" s="945"/>
      <c r="IT36" s="945"/>
      <c r="IU36" s="945"/>
      <c r="IV36" s="945"/>
      <c r="IW36" s="945"/>
      <c r="IX36" s="945"/>
      <c r="IY36" s="945"/>
      <c r="IZ36" s="945"/>
      <c r="JA36" s="945"/>
      <c r="JB36" s="945"/>
      <c r="JC36" s="945"/>
      <c r="JD36" s="945"/>
      <c r="JE36" s="945"/>
      <c r="JF36" s="945"/>
      <c r="JG36" s="945"/>
      <c r="JH36" s="945"/>
      <c r="JI36" s="945"/>
      <c r="JJ36" s="945"/>
      <c r="JK36" s="945"/>
      <c r="JL36" s="945"/>
      <c r="JM36" s="945"/>
      <c r="JN36" s="945"/>
      <c r="JO36" s="945"/>
      <c r="JP36" s="945"/>
      <c r="JQ36" s="945"/>
      <c r="JR36" s="945"/>
      <c r="JS36" s="945"/>
      <c r="JT36" s="945"/>
      <c r="JU36" s="945"/>
      <c r="JV36" s="945"/>
      <c r="JW36" s="945"/>
      <c r="JX36" s="945"/>
      <c r="JY36" s="945"/>
      <c r="JZ36" s="945"/>
      <c r="KA36" s="945"/>
      <c r="KB36" s="945"/>
      <c r="KC36" s="945"/>
      <c r="KD36" s="945"/>
      <c r="KE36" s="945"/>
      <c r="KF36" s="945"/>
      <c r="KG36" s="945"/>
      <c r="KH36" s="945"/>
      <c r="KI36" s="945"/>
      <c r="KJ36" s="945"/>
      <c r="KK36" s="945"/>
      <c r="KL36" s="945"/>
      <c r="KM36" s="945"/>
      <c r="KN36" s="945"/>
      <c r="KO36" s="945"/>
      <c r="KP36" s="945"/>
      <c r="KQ36" s="945"/>
      <c r="KR36" s="945"/>
      <c r="KS36" s="945"/>
      <c r="KT36" s="945"/>
      <c r="KU36" s="945"/>
      <c r="KV36" s="945"/>
      <c r="KW36" s="945"/>
      <c r="KX36" s="945"/>
      <c r="KY36" s="945"/>
      <c r="KZ36" s="945"/>
      <c r="LA36" s="945"/>
      <c r="LB36" s="945"/>
      <c r="LC36" s="945"/>
      <c r="LD36" s="945"/>
      <c r="LE36" s="945"/>
      <c r="LF36" s="945"/>
      <c r="LG36" s="945"/>
      <c r="LH36" s="945"/>
      <c r="LI36" s="945"/>
      <c r="LJ36" s="945"/>
      <c r="LK36" s="945"/>
      <c r="LL36" s="945"/>
      <c r="LM36" s="945"/>
      <c r="LN36" s="945"/>
      <c r="LO36" s="945"/>
      <c r="LP36" s="945"/>
      <c r="LQ36" s="945"/>
      <c r="LR36" s="945"/>
      <c r="LS36" s="945"/>
      <c r="LT36" s="945"/>
      <c r="LU36" s="945"/>
      <c r="LV36" s="945"/>
      <c r="LW36" s="945"/>
      <c r="LX36" s="945"/>
      <c r="LY36" s="945"/>
      <c r="LZ36" s="945"/>
      <c r="MA36" s="945"/>
      <c r="MB36" s="945"/>
      <c r="MC36" s="945"/>
      <c r="MD36" s="945"/>
      <c r="ME36" s="945"/>
      <c r="MF36" s="945"/>
      <c r="MG36" s="945"/>
      <c r="MH36" s="945"/>
      <c r="MI36" s="945"/>
      <c r="MJ36" s="945"/>
      <c r="MK36" s="945"/>
      <c r="ML36" s="945"/>
      <c r="MM36" s="945"/>
      <c r="MN36" s="945"/>
      <c r="MO36" s="945"/>
      <c r="MP36" s="945"/>
      <c r="MQ36" s="945"/>
      <c r="MR36" s="945"/>
      <c r="MS36" s="945"/>
      <c r="MT36" s="945"/>
      <c r="MU36" s="945"/>
      <c r="MV36" s="945"/>
      <c r="MW36" s="945"/>
      <c r="MX36" s="945"/>
      <c r="MY36" s="945"/>
      <c r="MZ36" s="945"/>
      <c r="NA36" s="945"/>
      <c r="NB36" s="945"/>
      <c r="NC36" s="945"/>
      <c r="ND36" s="945"/>
      <c r="NE36" s="945"/>
      <c r="NF36" s="945"/>
      <c r="NG36" s="945"/>
      <c r="NH36" s="945"/>
      <c r="NI36" s="945"/>
      <c r="NJ36" s="945"/>
      <c r="NK36" s="945"/>
      <c r="NL36" s="945"/>
      <c r="NM36" s="945"/>
      <c r="NN36" s="945"/>
      <c r="NO36" s="945"/>
      <c r="NP36" s="945"/>
      <c r="NQ36" s="945"/>
      <c r="NR36" s="945"/>
      <c r="NS36" s="945"/>
      <c r="NT36" s="945"/>
      <c r="NU36" s="945"/>
      <c r="NV36" s="945"/>
      <c r="NW36" s="945"/>
      <c r="NX36" s="945"/>
      <c r="NY36" s="945"/>
      <c r="NZ36" s="945"/>
      <c r="OA36" s="945"/>
      <c r="OB36" s="945"/>
      <c r="OC36" s="945"/>
      <c r="OD36" s="945"/>
      <c r="OE36" s="945"/>
      <c r="OF36" s="945"/>
      <c r="OG36" s="945"/>
      <c r="OH36" s="945"/>
      <c r="OI36" s="945"/>
      <c r="OJ36" s="945"/>
      <c r="OK36" s="945"/>
      <c r="OL36" s="945"/>
      <c r="OM36" s="945"/>
      <c r="ON36" s="945"/>
      <c r="OO36" s="945"/>
      <c r="OP36" s="945"/>
      <c r="OQ36" s="945"/>
      <c r="OR36" s="945"/>
      <c r="OS36" s="945"/>
      <c r="OT36" s="945"/>
      <c r="OU36" s="945"/>
      <c r="OV36" s="945"/>
      <c r="OW36" s="945"/>
      <c r="OX36" s="945"/>
      <c r="OY36" s="945"/>
      <c r="OZ36" s="945"/>
      <c r="PA36" s="945"/>
      <c r="PB36" s="945"/>
      <c r="PC36" s="945"/>
      <c r="PD36" s="945"/>
      <c r="PE36" s="945"/>
      <c r="PF36" s="945"/>
      <c r="PG36" s="945"/>
      <c r="PH36" s="945"/>
      <c r="PI36" s="945"/>
      <c r="PJ36" s="945"/>
      <c r="PK36" s="945"/>
      <c r="PL36" s="945"/>
      <c r="PM36" s="945"/>
      <c r="PN36" s="945"/>
      <c r="PO36" s="945"/>
    </row>
    <row r="37" spans="1:431" s="165" customFormat="1">
      <c r="A37" s="945"/>
      <c r="B37" s="945"/>
      <c r="C37" s="948"/>
      <c r="D37" s="948"/>
      <c r="E37" s="948"/>
      <c r="F37" s="948"/>
      <c r="G37" s="948"/>
      <c r="H37" s="948"/>
      <c r="I37" s="948"/>
      <c r="J37" s="948"/>
      <c r="K37" s="948"/>
      <c r="L37" s="948"/>
      <c r="M37" s="945"/>
      <c r="N37" s="945"/>
      <c r="O37" s="945"/>
      <c r="P37" s="945"/>
      <c r="Q37" s="945"/>
      <c r="R37" s="945"/>
      <c r="S37" s="945"/>
      <c r="T37" s="945"/>
      <c r="U37" s="945"/>
      <c r="V37" s="945"/>
      <c r="W37" s="945"/>
      <c r="X37" s="945"/>
      <c r="Y37" s="945"/>
      <c r="Z37" s="945"/>
      <c r="AA37" s="945"/>
      <c r="AB37" s="945"/>
      <c r="AC37" s="945"/>
      <c r="AD37" s="945"/>
      <c r="AE37" s="945"/>
      <c r="AF37" s="945"/>
      <c r="AG37" s="945"/>
      <c r="AH37" s="945"/>
      <c r="AI37" s="945"/>
      <c r="AJ37" s="945"/>
      <c r="AK37" s="945"/>
      <c r="AL37" s="945"/>
      <c r="AM37" s="945"/>
      <c r="AN37" s="945"/>
      <c r="AO37" s="945"/>
      <c r="AP37" s="945"/>
      <c r="AQ37" s="945"/>
      <c r="AR37" s="945"/>
      <c r="AS37" s="945"/>
      <c r="AT37" s="945"/>
      <c r="AU37" s="945"/>
      <c r="AV37" s="945"/>
      <c r="AW37" s="945"/>
      <c r="AX37" s="945"/>
      <c r="AY37" s="945"/>
      <c r="AZ37" s="945"/>
      <c r="BA37" s="945"/>
      <c r="BB37" s="945"/>
      <c r="BC37" s="945"/>
      <c r="BD37" s="945"/>
      <c r="BE37" s="945"/>
      <c r="BF37" s="945"/>
      <c r="BG37" s="945"/>
      <c r="BH37" s="945"/>
      <c r="BI37" s="945"/>
      <c r="BJ37" s="945"/>
      <c r="BK37" s="945"/>
      <c r="BL37" s="945"/>
      <c r="BM37" s="945"/>
      <c r="BN37" s="945"/>
      <c r="BO37" s="945"/>
      <c r="BP37" s="945"/>
      <c r="BQ37" s="945"/>
      <c r="BR37" s="945"/>
      <c r="BS37" s="945"/>
      <c r="BT37" s="945"/>
      <c r="BU37" s="945"/>
      <c r="BV37" s="945"/>
      <c r="BW37" s="945"/>
      <c r="BX37" s="945"/>
      <c r="BY37" s="945"/>
      <c r="BZ37" s="945"/>
      <c r="CA37" s="945"/>
      <c r="CB37" s="945"/>
      <c r="CC37" s="945"/>
      <c r="CD37" s="945"/>
      <c r="CE37" s="945"/>
      <c r="CF37" s="945"/>
      <c r="CG37" s="945"/>
      <c r="CH37" s="945"/>
      <c r="CI37" s="945"/>
      <c r="CJ37" s="945"/>
      <c r="CK37" s="945"/>
      <c r="CL37" s="945"/>
      <c r="CM37" s="945"/>
      <c r="CN37" s="945"/>
      <c r="CO37" s="945"/>
      <c r="CP37" s="945"/>
      <c r="CQ37" s="945"/>
      <c r="CR37" s="945"/>
      <c r="CS37" s="945"/>
      <c r="CT37" s="945"/>
      <c r="CU37" s="945"/>
      <c r="CV37" s="945"/>
      <c r="CW37" s="945"/>
      <c r="CX37" s="945"/>
      <c r="CY37" s="945"/>
      <c r="CZ37" s="945"/>
      <c r="DA37" s="945"/>
      <c r="DB37" s="945"/>
      <c r="DC37" s="945"/>
      <c r="DD37" s="945"/>
      <c r="DE37" s="945"/>
      <c r="DF37" s="945"/>
      <c r="DG37" s="945"/>
      <c r="DH37" s="945"/>
      <c r="DI37" s="945"/>
      <c r="DJ37" s="945"/>
      <c r="DK37" s="945"/>
      <c r="DL37" s="945"/>
      <c r="DM37" s="945"/>
      <c r="DN37" s="945"/>
      <c r="DO37" s="945"/>
      <c r="DP37" s="945"/>
      <c r="DQ37" s="945"/>
      <c r="DR37" s="945"/>
      <c r="DS37" s="945"/>
      <c r="DT37" s="945"/>
      <c r="DU37" s="945"/>
      <c r="DV37" s="945"/>
      <c r="DW37" s="945"/>
      <c r="DX37" s="945"/>
      <c r="DY37" s="945"/>
      <c r="DZ37" s="945"/>
      <c r="EA37" s="945"/>
      <c r="EB37" s="945"/>
      <c r="EC37" s="945"/>
      <c r="ED37" s="945"/>
      <c r="EE37" s="945"/>
      <c r="EF37" s="945"/>
      <c r="EG37" s="945"/>
      <c r="EH37" s="945"/>
      <c r="EI37" s="945"/>
      <c r="EJ37" s="945"/>
      <c r="EK37" s="945"/>
      <c r="EL37" s="945"/>
      <c r="EM37" s="945"/>
      <c r="EN37" s="945"/>
      <c r="EO37" s="945"/>
      <c r="EP37" s="945"/>
      <c r="EQ37" s="945"/>
      <c r="ER37" s="945"/>
      <c r="ES37" s="945"/>
      <c r="ET37" s="945"/>
      <c r="EU37" s="945"/>
      <c r="EV37" s="945"/>
      <c r="EW37" s="945"/>
      <c r="EX37" s="945"/>
      <c r="EY37" s="945"/>
      <c r="EZ37" s="945"/>
      <c r="FA37" s="945"/>
      <c r="FB37" s="945"/>
      <c r="FC37" s="945"/>
      <c r="FD37" s="945"/>
      <c r="FE37" s="945"/>
      <c r="FF37" s="945"/>
      <c r="FG37" s="945"/>
      <c r="FH37" s="945"/>
      <c r="FI37" s="945"/>
      <c r="FJ37" s="945"/>
      <c r="FK37" s="945"/>
      <c r="FL37" s="945"/>
      <c r="FM37" s="945"/>
      <c r="FN37" s="945"/>
      <c r="FO37" s="945"/>
      <c r="FP37" s="945"/>
      <c r="FQ37" s="945"/>
      <c r="FR37" s="945"/>
      <c r="FS37" s="945"/>
      <c r="FT37" s="945"/>
      <c r="FU37" s="945"/>
      <c r="FV37" s="945"/>
      <c r="FW37" s="945"/>
      <c r="FX37" s="945"/>
      <c r="FY37" s="945"/>
      <c r="FZ37" s="945"/>
      <c r="GA37" s="945"/>
      <c r="GB37" s="945"/>
      <c r="GC37" s="945"/>
      <c r="GD37" s="945"/>
      <c r="GE37" s="945"/>
      <c r="GF37" s="945"/>
      <c r="GG37" s="945"/>
      <c r="GH37" s="945"/>
      <c r="GI37" s="945"/>
      <c r="GJ37" s="945"/>
      <c r="GK37" s="945"/>
      <c r="GL37" s="945"/>
      <c r="GM37" s="945"/>
      <c r="GN37" s="945"/>
      <c r="GO37" s="945"/>
      <c r="GP37" s="945"/>
      <c r="GQ37" s="945"/>
      <c r="GR37" s="945"/>
      <c r="GS37" s="945"/>
      <c r="GT37" s="945"/>
      <c r="GU37" s="945"/>
      <c r="GV37" s="945"/>
      <c r="GW37" s="945"/>
      <c r="GX37" s="945"/>
      <c r="GY37" s="945"/>
      <c r="GZ37" s="945"/>
      <c r="HA37" s="945"/>
      <c r="HB37" s="945"/>
      <c r="HC37" s="945"/>
      <c r="HD37" s="945"/>
      <c r="HE37" s="945"/>
      <c r="HF37" s="945"/>
      <c r="HG37" s="945"/>
      <c r="HH37" s="945"/>
      <c r="HI37" s="945"/>
      <c r="HJ37" s="945"/>
      <c r="HK37" s="945"/>
      <c r="HL37" s="945"/>
      <c r="HM37" s="945"/>
      <c r="HN37" s="945"/>
      <c r="HO37" s="945"/>
      <c r="HP37" s="945"/>
      <c r="HQ37" s="945"/>
      <c r="HR37" s="945"/>
      <c r="HS37" s="945"/>
      <c r="HT37" s="945"/>
      <c r="HU37" s="945"/>
      <c r="HV37" s="945"/>
      <c r="HW37" s="945"/>
      <c r="HX37" s="945"/>
      <c r="HY37" s="945"/>
      <c r="HZ37" s="945"/>
      <c r="IA37" s="945"/>
      <c r="IB37" s="945"/>
      <c r="IC37" s="945"/>
      <c r="ID37" s="945"/>
      <c r="IE37" s="945"/>
      <c r="IF37" s="945"/>
      <c r="IG37" s="945"/>
      <c r="IH37" s="945"/>
      <c r="II37" s="945"/>
      <c r="IJ37" s="945"/>
      <c r="IK37" s="945"/>
      <c r="IL37" s="945"/>
      <c r="IM37" s="945"/>
      <c r="IN37" s="945"/>
      <c r="IO37" s="945"/>
      <c r="IP37" s="945"/>
      <c r="IQ37" s="945"/>
      <c r="IR37" s="945"/>
      <c r="IS37" s="945"/>
      <c r="IT37" s="945"/>
      <c r="IU37" s="945"/>
      <c r="IV37" s="945"/>
      <c r="IW37" s="945"/>
      <c r="IX37" s="945"/>
      <c r="IY37" s="945"/>
      <c r="IZ37" s="945"/>
      <c r="JA37" s="945"/>
      <c r="JB37" s="945"/>
      <c r="JC37" s="945"/>
      <c r="JD37" s="945"/>
      <c r="JE37" s="945"/>
      <c r="JF37" s="945"/>
      <c r="JG37" s="945"/>
      <c r="JH37" s="945"/>
      <c r="JI37" s="945"/>
      <c r="JJ37" s="945"/>
      <c r="JK37" s="945"/>
      <c r="JL37" s="945"/>
      <c r="JM37" s="945"/>
      <c r="JN37" s="945"/>
      <c r="JO37" s="945"/>
      <c r="JP37" s="945"/>
      <c r="JQ37" s="945"/>
      <c r="JR37" s="945"/>
      <c r="JS37" s="945"/>
      <c r="JT37" s="945"/>
      <c r="JU37" s="945"/>
      <c r="JV37" s="945"/>
      <c r="JW37" s="945"/>
      <c r="JX37" s="945"/>
      <c r="JY37" s="945"/>
      <c r="JZ37" s="945"/>
      <c r="KA37" s="945"/>
      <c r="KB37" s="945"/>
      <c r="KC37" s="945"/>
      <c r="KD37" s="945"/>
      <c r="KE37" s="945"/>
      <c r="KF37" s="945"/>
      <c r="KG37" s="945"/>
      <c r="KH37" s="945"/>
      <c r="KI37" s="945"/>
      <c r="KJ37" s="945"/>
      <c r="KK37" s="945"/>
      <c r="KL37" s="945"/>
      <c r="KM37" s="945"/>
      <c r="KN37" s="945"/>
      <c r="KO37" s="945"/>
      <c r="KP37" s="945"/>
      <c r="KQ37" s="945"/>
      <c r="KR37" s="945"/>
      <c r="KS37" s="945"/>
      <c r="KT37" s="945"/>
      <c r="KU37" s="945"/>
      <c r="KV37" s="945"/>
      <c r="KW37" s="945"/>
      <c r="KX37" s="945"/>
      <c r="KY37" s="945"/>
      <c r="KZ37" s="945"/>
      <c r="LA37" s="945"/>
      <c r="LB37" s="945"/>
      <c r="LC37" s="945"/>
      <c r="LD37" s="945"/>
      <c r="LE37" s="945"/>
      <c r="LF37" s="945"/>
      <c r="LG37" s="945"/>
      <c r="LH37" s="945"/>
      <c r="LI37" s="945"/>
      <c r="LJ37" s="945"/>
      <c r="LK37" s="945"/>
      <c r="LL37" s="945"/>
      <c r="LM37" s="945"/>
      <c r="LN37" s="945"/>
      <c r="LO37" s="945"/>
      <c r="LP37" s="945"/>
      <c r="LQ37" s="945"/>
      <c r="LR37" s="945"/>
      <c r="LS37" s="945"/>
      <c r="LT37" s="945"/>
      <c r="LU37" s="945"/>
      <c r="LV37" s="945"/>
      <c r="LW37" s="945"/>
      <c r="LX37" s="945"/>
      <c r="LY37" s="945"/>
      <c r="LZ37" s="945"/>
      <c r="MA37" s="945"/>
      <c r="MB37" s="945"/>
      <c r="MC37" s="945"/>
      <c r="MD37" s="945"/>
      <c r="ME37" s="945"/>
      <c r="MF37" s="945"/>
      <c r="MG37" s="945"/>
      <c r="MH37" s="945"/>
      <c r="MI37" s="945"/>
      <c r="MJ37" s="945"/>
      <c r="MK37" s="945"/>
      <c r="ML37" s="945"/>
      <c r="MM37" s="945"/>
      <c r="MN37" s="945"/>
      <c r="MO37" s="945"/>
      <c r="MP37" s="945"/>
      <c r="MQ37" s="945"/>
      <c r="MR37" s="945"/>
      <c r="MS37" s="945"/>
      <c r="MT37" s="945"/>
      <c r="MU37" s="945"/>
      <c r="MV37" s="945"/>
      <c r="MW37" s="945"/>
      <c r="MX37" s="945"/>
      <c r="MY37" s="945"/>
      <c r="MZ37" s="945"/>
      <c r="NA37" s="945"/>
      <c r="NB37" s="945"/>
      <c r="NC37" s="945"/>
      <c r="ND37" s="945"/>
      <c r="NE37" s="945"/>
      <c r="NF37" s="945"/>
      <c r="NG37" s="945"/>
      <c r="NH37" s="945"/>
      <c r="NI37" s="945"/>
      <c r="NJ37" s="945"/>
      <c r="NK37" s="945"/>
      <c r="NL37" s="945"/>
      <c r="NM37" s="945"/>
      <c r="NN37" s="945"/>
      <c r="NO37" s="945"/>
      <c r="NP37" s="945"/>
      <c r="NQ37" s="945"/>
      <c r="NR37" s="945"/>
      <c r="NS37" s="945"/>
      <c r="NT37" s="945"/>
      <c r="NU37" s="945"/>
      <c r="NV37" s="945"/>
      <c r="NW37" s="945"/>
      <c r="NX37" s="945"/>
      <c r="NY37" s="945"/>
      <c r="NZ37" s="945"/>
      <c r="OA37" s="945"/>
      <c r="OB37" s="945"/>
      <c r="OC37" s="945"/>
      <c r="OD37" s="945"/>
      <c r="OE37" s="945"/>
      <c r="OF37" s="945"/>
      <c r="OG37" s="945"/>
      <c r="OH37" s="945"/>
      <c r="OI37" s="945"/>
      <c r="OJ37" s="945"/>
      <c r="OK37" s="945"/>
      <c r="OL37" s="945"/>
      <c r="OM37" s="945"/>
      <c r="ON37" s="945"/>
      <c r="OO37" s="945"/>
      <c r="OP37" s="945"/>
      <c r="OQ37" s="945"/>
      <c r="OR37" s="945"/>
      <c r="OS37" s="945"/>
      <c r="OT37" s="945"/>
      <c r="OU37" s="945"/>
      <c r="OV37" s="945"/>
      <c r="OW37" s="945"/>
      <c r="OX37" s="945"/>
      <c r="OY37" s="945"/>
      <c r="OZ37" s="945"/>
      <c r="PA37" s="945"/>
      <c r="PB37" s="945"/>
      <c r="PC37" s="945"/>
      <c r="PD37" s="945"/>
      <c r="PE37" s="945"/>
      <c r="PF37" s="945"/>
      <c r="PG37" s="945"/>
      <c r="PH37" s="945"/>
      <c r="PI37" s="945"/>
      <c r="PJ37" s="945"/>
      <c r="PK37" s="945"/>
      <c r="PL37" s="945"/>
      <c r="PM37" s="945"/>
      <c r="PN37" s="945"/>
      <c r="PO37" s="945"/>
    </row>
    <row r="38" spans="1:431" s="165" customFormat="1">
      <c r="A38" s="945"/>
      <c r="B38" s="945"/>
      <c r="C38" s="948"/>
      <c r="D38" s="948"/>
      <c r="E38" s="948"/>
      <c r="F38" s="948"/>
      <c r="G38" s="948"/>
      <c r="H38" s="948"/>
      <c r="I38" s="948"/>
      <c r="J38" s="948"/>
      <c r="K38" s="948"/>
      <c r="L38" s="948"/>
      <c r="M38" s="945"/>
      <c r="N38" s="945"/>
      <c r="O38" s="945"/>
      <c r="P38" s="945"/>
      <c r="Q38" s="945"/>
      <c r="R38" s="945"/>
      <c r="S38" s="945"/>
      <c r="T38" s="945"/>
      <c r="U38" s="945"/>
      <c r="V38" s="945"/>
      <c r="W38" s="945"/>
      <c r="X38" s="945"/>
      <c r="Y38" s="945"/>
      <c r="Z38" s="945"/>
      <c r="AA38" s="945"/>
      <c r="AB38" s="945"/>
      <c r="AC38" s="945"/>
      <c r="AD38" s="945"/>
      <c r="AE38" s="945"/>
      <c r="AF38" s="945"/>
      <c r="AG38" s="945"/>
      <c r="AH38" s="945"/>
      <c r="AI38" s="945"/>
      <c r="AJ38" s="945"/>
      <c r="AK38" s="945"/>
      <c r="AL38" s="945"/>
      <c r="AM38" s="945"/>
      <c r="AN38" s="945"/>
      <c r="AO38" s="945"/>
      <c r="AP38" s="945"/>
      <c r="AQ38" s="945"/>
      <c r="AR38" s="945"/>
      <c r="AS38" s="945"/>
      <c r="AT38" s="945"/>
      <c r="AU38" s="945"/>
      <c r="AV38" s="945"/>
      <c r="AW38" s="945"/>
      <c r="AX38" s="945"/>
      <c r="AY38" s="945"/>
      <c r="AZ38" s="945"/>
      <c r="BA38" s="945"/>
      <c r="BB38" s="945"/>
      <c r="BC38" s="945"/>
      <c r="BD38" s="945"/>
      <c r="BE38" s="945"/>
      <c r="BF38" s="945"/>
      <c r="BG38" s="945"/>
      <c r="BH38" s="945"/>
      <c r="BI38" s="945"/>
      <c r="BJ38" s="945"/>
      <c r="BK38" s="945"/>
      <c r="BL38" s="945"/>
      <c r="BM38" s="945"/>
      <c r="BN38" s="945"/>
      <c r="BO38" s="945"/>
      <c r="BP38" s="945"/>
      <c r="BQ38" s="945"/>
      <c r="BR38" s="945"/>
      <c r="BS38" s="945"/>
      <c r="BT38" s="945"/>
      <c r="BU38" s="945"/>
      <c r="BV38" s="945"/>
      <c r="BW38" s="945"/>
      <c r="BX38" s="945"/>
      <c r="BY38" s="945"/>
      <c r="BZ38" s="945"/>
      <c r="CA38" s="945"/>
      <c r="CB38" s="945"/>
      <c r="CC38" s="945"/>
      <c r="CD38" s="945"/>
      <c r="CE38" s="945"/>
      <c r="CF38" s="945"/>
      <c r="CG38" s="945"/>
      <c r="CH38" s="945"/>
      <c r="CI38" s="945"/>
      <c r="CJ38" s="945"/>
      <c r="CK38" s="945"/>
      <c r="CL38" s="945"/>
      <c r="CM38" s="945"/>
      <c r="CN38" s="945"/>
      <c r="CO38" s="945"/>
      <c r="CP38" s="945"/>
      <c r="CQ38" s="945"/>
      <c r="CR38" s="945"/>
      <c r="CS38" s="945"/>
      <c r="CT38" s="945"/>
      <c r="CU38" s="945"/>
      <c r="CV38" s="945"/>
      <c r="CW38" s="945"/>
      <c r="CX38" s="945"/>
      <c r="CY38" s="945"/>
      <c r="CZ38" s="945"/>
      <c r="DA38" s="945"/>
      <c r="DB38" s="945"/>
      <c r="DC38" s="945"/>
      <c r="DD38" s="945"/>
      <c r="DE38" s="945"/>
      <c r="DF38" s="945"/>
      <c r="DG38" s="945"/>
      <c r="DH38" s="945"/>
      <c r="DI38" s="945"/>
      <c r="DJ38" s="945"/>
      <c r="DK38" s="945"/>
      <c r="DL38" s="945"/>
      <c r="DM38" s="945"/>
      <c r="DN38" s="945"/>
      <c r="DO38" s="945"/>
      <c r="DP38" s="945"/>
      <c r="DQ38" s="945"/>
      <c r="DR38" s="945"/>
      <c r="DS38" s="945"/>
      <c r="DT38" s="945"/>
      <c r="DU38" s="945"/>
      <c r="DV38" s="945"/>
      <c r="DW38" s="945"/>
      <c r="DX38" s="945"/>
      <c r="DY38" s="945"/>
      <c r="DZ38" s="945"/>
      <c r="EA38" s="945"/>
      <c r="EB38" s="945"/>
      <c r="EC38" s="945"/>
      <c r="ED38" s="945"/>
      <c r="EE38" s="945"/>
      <c r="EF38" s="945"/>
      <c r="EG38" s="945"/>
      <c r="EH38" s="945"/>
      <c r="EI38" s="945"/>
      <c r="EJ38" s="945"/>
      <c r="EK38" s="945"/>
      <c r="EL38" s="945"/>
      <c r="EM38" s="945"/>
      <c r="EN38" s="945"/>
      <c r="EO38" s="945"/>
      <c r="EP38" s="945"/>
      <c r="EQ38" s="945"/>
      <c r="ER38" s="945"/>
      <c r="ES38" s="945"/>
      <c r="ET38" s="945"/>
      <c r="EU38" s="945"/>
      <c r="EV38" s="945"/>
      <c r="EW38" s="945"/>
      <c r="EX38" s="945"/>
      <c r="EY38" s="945"/>
      <c r="EZ38" s="945"/>
      <c r="FA38" s="945"/>
      <c r="FB38" s="945"/>
      <c r="FC38" s="945"/>
      <c r="FD38" s="945"/>
      <c r="FE38" s="945"/>
      <c r="FF38" s="945"/>
      <c r="FG38" s="945"/>
      <c r="FH38" s="945"/>
      <c r="FI38" s="945"/>
      <c r="FJ38" s="945"/>
      <c r="FK38" s="945"/>
      <c r="FL38" s="945"/>
      <c r="FM38" s="945"/>
      <c r="FN38" s="945"/>
      <c r="FO38" s="945"/>
      <c r="FP38" s="945"/>
      <c r="FQ38" s="945"/>
      <c r="FR38" s="945"/>
      <c r="FS38" s="945"/>
      <c r="FT38" s="945"/>
      <c r="FU38" s="945"/>
      <c r="FV38" s="945"/>
      <c r="FW38" s="945"/>
      <c r="FX38" s="945"/>
      <c r="FY38" s="945"/>
      <c r="FZ38" s="945"/>
      <c r="GA38" s="945"/>
      <c r="GB38" s="945"/>
      <c r="GC38" s="945"/>
      <c r="GD38" s="945"/>
      <c r="GE38" s="945"/>
      <c r="GF38" s="945"/>
      <c r="GG38" s="945"/>
      <c r="GH38" s="945"/>
      <c r="GI38" s="945"/>
      <c r="GJ38" s="945"/>
      <c r="GK38" s="945"/>
      <c r="GL38" s="945"/>
      <c r="GM38" s="945"/>
      <c r="GN38" s="945"/>
      <c r="GO38" s="945"/>
      <c r="GP38" s="945"/>
      <c r="GQ38" s="945"/>
      <c r="GR38" s="945"/>
      <c r="GS38" s="945"/>
      <c r="GT38" s="945"/>
      <c r="GU38" s="945"/>
      <c r="GV38" s="945"/>
      <c r="GW38" s="945"/>
      <c r="GX38" s="945"/>
      <c r="GY38" s="945"/>
      <c r="GZ38" s="945"/>
      <c r="HA38" s="945"/>
      <c r="HB38" s="945"/>
      <c r="HC38" s="945"/>
      <c r="HD38" s="945"/>
      <c r="HE38" s="945"/>
      <c r="HF38" s="945"/>
      <c r="HG38" s="945"/>
      <c r="HH38" s="945"/>
      <c r="HI38" s="945"/>
      <c r="HJ38" s="945"/>
      <c r="HK38" s="945"/>
      <c r="HL38" s="945"/>
      <c r="HM38" s="945"/>
      <c r="HN38" s="945"/>
      <c r="HO38" s="945"/>
      <c r="HP38" s="945"/>
      <c r="HQ38" s="945"/>
      <c r="HR38" s="945"/>
      <c r="HS38" s="945"/>
      <c r="HT38" s="945"/>
      <c r="HU38" s="945"/>
      <c r="HV38" s="945"/>
      <c r="HW38" s="945"/>
      <c r="HX38" s="945"/>
      <c r="HY38" s="945"/>
      <c r="HZ38" s="945"/>
      <c r="IA38" s="945"/>
      <c r="IB38" s="945"/>
      <c r="IC38" s="945"/>
      <c r="ID38" s="945"/>
      <c r="IE38" s="945"/>
      <c r="IF38" s="945"/>
      <c r="IG38" s="945"/>
      <c r="IH38" s="945"/>
      <c r="II38" s="945"/>
      <c r="IJ38" s="945"/>
      <c r="IK38" s="945"/>
      <c r="IL38" s="945"/>
      <c r="IM38" s="945"/>
      <c r="IN38" s="945"/>
      <c r="IO38" s="945"/>
      <c r="IP38" s="945"/>
      <c r="IQ38" s="945"/>
      <c r="IR38" s="945"/>
      <c r="IS38" s="945"/>
      <c r="IT38" s="945"/>
      <c r="IU38" s="945"/>
      <c r="IV38" s="945"/>
      <c r="IW38" s="945"/>
      <c r="IX38" s="945"/>
      <c r="IY38" s="945"/>
      <c r="IZ38" s="945"/>
      <c r="JA38" s="945"/>
      <c r="JB38" s="945"/>
      <c r="JC38" s="945"/>
      <c r="JD38" s="945"/>
      <c r="JE38" s="945"/>
      <c r="JF38" s="945"/>
      <c r="JG38" s="945"/>
      <c r="JH38" s="945"/>
      <c r="JI38" s="945"/>
      <c r="JJ38" s="945"/>
      <c r="JK38" s="945"/>
      <c r="JL38" s="945"/>
      <c r="JM38" s="945"/>
      <c r="JN38" s="945"/>
      <c r="JO38" s="945"/>
      <c r="JP38" s="945"/>
      <c r="JQ38" s="945"/>
      <c r="JR38" s="945"/>
      <c r="JS38" s="945"/>
      <c r="JT38" s="945"/>
      <c r="JU38" s="945"/>
      <c r="JV38" s="945"/>
      <c r="JW38" s="945"/>
      <c r="JX38" s="945"/>
      <c r="JY38" s="945"/>
      <c r="JZ38" s="945"/>
      <c r="KA38" s="945"/>
      <c r="KB38" s="945"/>
      <c r="KC38" s="945"/>
      <c r="KD38" s="945"/>
      <c r="KE38" s="945"/>
      <c r="KF38" s="945"/>
      <c r="KG38" s="945"/>
      <c r="KH38" s="945"/>
      <c r="KI38" s="945"/>
      <c r="KJ38" s="945"/>
      <c r="KK38" s="945"/>
      <c r="KL38" s="945"/>
      <c r="KM38" s="945"/>
      <c r="KN38" s="945"/>
      <c r="KO38" s="945"/>
      <c r="KP38" s="945"/>
      <c r="KQ38" s="945"/>
      <c r="KR38" s="945"/>
      <c r="KS38" s="945"/>
      <c r="KT38" s="945"/>
      <c r="KU38" s="945"/>
      <c r="KV38" s="945"/>
      <c r="KW38" s="945"/>
      <c r="KX38" s="945"/>
      <c r="KY38" s="945"/>
      <c r="KZ38" s="945"/>
      <c r="LA38" s="945"/>
      <c r="LB38" s="945"/>
      <c r="LC38" s="945"/>
      <c r="LD38" s="945"/>
      <c r="LE38" s="945"/>
      <c r="LF38" s="945"/>
      <c r="LG38" s="945"/>
      <c r="LH38" s="945"/>
      <c r="LI38" s="945"/>
      <c r="LJ38" s="945"/>
      <c r="LK38" s="945"/>
      <c r="LL38" s="945"/>
      <c r="LM38" s="945"/>
      <c r="LN38" s="945"/>
      <c r="LO38" s="945"/>
      <c r="LP38" s="945"/>
      <c r="LQ38" s="945"/>
      <c r="LR38" s="945"/>
      <c r="LS38" s="945"/>
      <c r="LT38" s="945"/>
      <c r="LU38" s="945"/>
      <c r="LV38" s="945"/>
      <c r="LW38" s="945"/>
      <c r="LX38" s="945"/>
      <c r="LY38" s="945"/>
      <c r="LZ38" s="945"/>
      <c r="MA38" s="945"/>
      <c r="MB38" s="945"/>
      <c r="MC38" s="945"/>
      <c r="MD38" s="945"/>
      <c r="ME38" s="945"/>
      <c r="MF38" s="945"/>
      <c r="MG38" s="945"/>
      <c r="MH38" s="945"/>
      <c r="MI38" s="945"/>
      <c r="MJ38" s="945"/>
      <c r="MK38" s="945"/>
      <c r="ML38" s="945"/>
      <c r="MM38" s="945"/>
      <c r="MN38" s="945"/>
      <c r="MO38" s="945"/>
      <c r="MP38" s="945"/>
      <c r="MQ38" s="945"/>
      <c r="MR38" s="945"/>
      <c r="MS38" s="945"/>
      <c r="MT38" s="945"/>
      <c r="MU38" s="945"/>
      <c r="MV38" s="945"/>
      <c r="MW38" s="945"/>
      <c r="MX38" s="945"/>
      <c r="MY38" s="945"/>
      <c r="MZ38" s="945"/>
      <c r="NA38" s="945"/>
      <c r="NB38" s="945"/>
      <c r="NC38" s="945"/>
      <c r="ND38" s="945"/>
      <c r="NE38" s="945"/>
      <c r="NF38" s="945"/>
      <c r="NG38" s="945"/>
      <c r="NH38" s="945"/>
      <c r="NI38" s="945"/>
      <c r="NJ38" s="945"/>
      <c r="NK38" s="945"/>
      <c r="NL38" s="945"/>
      <c r="NM38" s="945"/>
      <c r="NN38" s="945"/>
      <c r="NO38" s="945"/>
      <c r="NP38" s="945"/>
      <c r="NQ38" s="945"/>
      <c r="NR38" s="945"/>
      <c r="NS38" s="945"/>
      <c r="NT38" s="945"/>
      <c r="NU38" s="945"/>
      <c r="NV38" s="945"/>
      <c r="NW38" s="945"/>
      <c r="NX38" s="945"/>
      <c r="NY38" s="945"/>
      <c r="NZ38" s="945"/>
      <c r="OA38" s="945"/>
      <c r="OB38" s="945"/>
      <c r="OC38" s="945"/>
      <c r="OD38" s="945"/>
      <c r="OE38" s="945"/>
      <c r="OF38" s="945"/>
      <c r="OG38" s="945"/>
      <c r="OH38" s="945"/>
      <c r="OI38" s="945"/>
      <c r="OJ38" s="945"/>
      <c r="OK38" s="945"/>
      <c r="OL38" s="945"/>
      <c r="OM38" s="945"/>
      <c r="ON38" s="945"/>
      <c r="OO38" s="945"/>
      <c r="OP38" s="945"/>
      <c r="OQ38" s="945"/>
      <c r="OR38" s="945"/>
      <c r="OS38" s="945"/>
      <c r="OT38" s="945"/>
      <c r="OU38" s="945"/>
      <c r="OV38" s="945"/>
      <c r="OW38" s="945"/>
      <c r="OX38" s="945"/>
      <c r="OY38" s="945"/>
      <c r="OZ38" s="945"/>
      <c r="PA38" s="945"/>
      <c r="PB38" s="945"/>
      <c r="PC38" s="945"/>
      <c r="PD38" s="945"/>
      <c r="PE38" s="945"/>
      <c r="PF38" s="945"/>
      <c r="PG38" s="945"/>
      <c r="PH38" s="945"/>
      <c r="PI38" s="945"/>
      <c r="PJ38" s="945"/>
      <c r="PK38" s="945"/>
      <c r="PL38" s="945"/>
      <c r="PM38" s="945"/>
      <c r="PN38" s="945"/>
      <c r="PO38" s="945"/>
    </row>
    <row r="39" spans="1:431" s="165" customFormat="1">
      <c r="A39" s="945"/>
      <c r="B39" s="945"/>
      <c r="C39" s="948"/>
      <c r="D39" s="948"/>
      <c r="E39" s="948"/>
      <c r="F39" s="948"/>
      <c r="G39" s="948"/>
      <c r="H39" s="948"/>
      <c r="I39" s="948"/>
      <c r="J39" s="948"/>
      <c r="K39" s="948"/>
      <c r="L39" s="948"/>
      <c r="M39" s="945"/>
      <c r="N39" s="945"/>
      <c r="O39" s="945"/>
      <c r="P39" s="945"/>
      <c r="Q39" s="945"/>
      <c r="R39" s="945"/>
      <c r="S39" s="945"/>
      <c r="T39" s="945"/>
      <c r="U39" s="945"/>
      <c r="V39" s="945"/>
      <c r="W39" s="945"/>
      <c r="X39" s="945"/>
      <c r="Y39" s="945"/>
      <c r="Z39" s="945"/>
      <c r="AA39" s="945"/>
      <c r="AB39" s="945"/>
      <c r="AC39" s="945"/>
      <c r="AD39" s="945"/>
      <c r="AE39" s="945"/>
      <c r="AF39" s="945"/>
      <c r="AG39" s="945"/>
      <c r="AH39" s="945"/>
      <c r="AI39" s="945"/>
      <c r="AJ39" s="945"/>
      <c r="AK39" s="945"/>
      <c r="AL39" s="945"/>
      <c r="AM39" s="945"/>
      <c r="AN39" s="945"/>
      <c r="AO39" s="945"/>
      <c r="AP39" s="945"/>
      <c r="AQ39" s="945"/>
      <c r="AR39" s="945"/>
      <c r="AS39" s="945"/>
      <c r="AT39" s="945"/>
      <c r="AU39" s="945"/>
      <c r="AV39" s="945"/>
      <c r="AW39" s="945"/>
      <c r="AX39" s="945"/>
      <c r="AY39" s="945"/>
      <c r="AZ39" s="945"/>
      <c r="BA39" s="945"/>
      <c r="BB39" s="945"/>
      <c r="BC39" s="945"/>
      <c r="BD39" s="945"/>
      <c r="BE39" s="945"/>
      <c r="BF39" s="945"/>
      <c r="BG39" s="945"/>
      <c r="BH39" s="945"/>
      <c r="BI39" s="945"/>
      <c r="BJ39" s="945"/>
      <c r="BK39" s="945"/>
      <c r="BL39" s="945"/>
      <c r="BM39" s="945"/>
      <c r="BN39" s="945"/>
      <c r="BO39" s="945"/>
      <c r="BP39" s="945"/>
      <c r="BQ39" s="945"/>
      <c r="BR39" s="945"/>
      <c r="BS39" s="945"/>
      <c r="BT39" s="945"/>
      <c r="BU39" s="945"/>
      <c r="BV39" s="945"/>
      <c r="BW39" s="945"/>
      <c r="BX39" s="945"/>
      <c r="BY39" s="945"/>
      <c r="BZ39" s="945"/>
      <c r="CA39" s="945"/>
      <c r="CB39" s="945"/>
      <c r="CC39" s="945"/>
      <c r="CD39" s="945"/>
      <c r="CE39" s="945"/>
      <c r="CF39" s="945"/>
      <c r="CG39" s="945"/>
      <c r="CH39" s="945"/>
      <c r="CI39" s="945"/>
      <c r="CJ39" s="945"/>
      <c r="CK39" s="945"/>
      <c r="CL39" s="945"/>
      <c r="CM39" s="945"/>
      <c r="CN39" s="945"/>
      <c r="CO39" s="945"/>
      <c r="CP39" s="945"/>
      <c r="CQ39" s="945"/>
      <c r="CR39" s="945"/>
      <c r="CS39" s="945"/>
      <c r="CT39" s="945"/>
      <c r="CU39" s="945"/>
      <c r="CV39" s="945"/>
      <c r="CW39" s="945"/>
      <c r="CX39" s="945"/>
      <c r="CY39" s="945"/>
      <c r="CZ39" s="945"/>
      <c r="DA39" s="945"/>
      <c r="DB39" s="945"/>
      <c r="DC39" s="945"/>
      <c r="DD39" s="945"/>
      <c r="DE39" s="945"/>
      <c r="DF39" s="945"/>
      <c r="DG39" s="945"/>
      <c r="DH39" s="945"/>
      <c r="DI39" s="945"/>
      <c r="DJ39" s="945"/>
      <c r="DK39" s="945"/>
      <c r="DL39" s="945"/>
      <c r="DM39" s="945"/>
      <c r="DN39" s="945"/>
      <c r="DO39" s="945"/>
      <c r="DP39" s="945"/>
      <c r="DQ39" s="945"/>
      <c r="DR39" s="945"/>
      <c r="DS39" s="945"/>
      <c r="DT39" s="945"/>
      <c r="DU39" s="945"/>
      <c r="DV39" s="945"/>
      <c r="DW39" s="945"/>
      <c r="DX39" s="945"/>
      <c r="DY39" s="945"/>
      <c r="DZ39" s="945"/>
      <c r="EA39" s="945"/>
      <c r="EB39" s="945"/>
      <c r="EC39" s="945"/>
      <c r="ED39" s="945"/>
      <c r="EE39" s="945"/>
      <c r="EF39" s="945"/>
      <c r="EG39" s="945"/>
      <c r="EH39" s="945"/>
      <c r="EI39" s="945"/>
      <c r="EJ39" s="945"/>
      <c r="EK39" s="945"/>
      <c r="EL39" s="945"/>
      <c r="EM39" s="945"/>
      <c r="EN39" s="945"/>
      <c r="EO39" s="945"/>
      <c r="EP39" s="945"/>
      <c r="EQ39" s="945"/>
      <c r="ER39" s="945"/>
      <c r="ES39" s="945"/>
      <c r="ET39" s="945"/>
      <c r="EU39" s="945"/>
      <c r="EV39" s="945"/>
      <c r="EW39" s="945"/>
      <c r="EX39" s="945"/>
      <c r="EY39" s="945"/>
      <c r="EZ39" s="945"/>
      <c r="FA39" s="945"/>
      <c r="FB39" s="945"/>
      <c r="FC39" s="945"/>
      <c r="FD39" s="945"/>
      <c r="FE39" s="945"/>
      <c r="FF39" s="945"/>
      <c r="FG39" s="945"/>
      <c r="FH39" s="945"/>
      <c r="FI39" s="945"/>
      <c r="FJ39" s="945"/>
      <c r="FK39" s="945"/>
      <c r="FL39" s="945"/>
      <c r="FM39" s="945"/>
      <c r="FN39" s="945"/>
      <c r="FO39" s="945"/>
      <c r="FP39" s="945"/>
      <c r="FQ39" s="945"/>
      <c r="FR39" s="945"/>
      <c r="FS39" s="945"/>
      <c r="FT39" s="945"/>
      <c r="FU39" s="945"/>
      <c r="FV39" s="945"/>
      <c r="FW39" s="945"/>
      <c r="FX39" s="945"/>
      <c r="FY39" s="945"/>
      <c r="FZ39" s="945"/>
      <c r="GA39" s="945"/>
      <c r="GB39" s="945"/>
      <c r="GC39" s="945"/>
      <c r="GD39" s="945"/>
      <c r="GE39" s="945"/>
      <c r="GF39" s="945"/>
      <c r="GG39" s="945"/>
      <c r="GH39" s="945"/>
      <c r="GI39" s="945"/>
      <c r="GJ39" s="945"/>
      <c r="GK39" s="945"/>
      <c r="GL39" s="945"/>
      <c r="GM39" s="945"/>
      <c r="GN39" s="945"/>
      <c r="GO39" s="945"/>
      <c r="GP39" s="945"/>
      <c r="GQ39" s="945"/>
      <c r="GR39" s="945"/>
      <c r="GS39" s="945"/>
      <c r="GT39" s="945"/>
      <c r="GU39" s="945"/>
      <c r="GV39" s="945"/>
      <c r="GW39" s="945"/>
      <c r="GX39" s="945"/>
      <c r="GY39" s="945"/>
      <c r="GZ39" s="945"/>
      <c r="HA39" s="945"/>
      <c r="HB39" s="945"/>
      <c r="HC39" s="945"/>
      <c r="HD39" s="945"/>
      <c r="HE39" s="945"/>
      <c r="HF39" s="945"/>
      <c r="HG39" s="945"/>
      <c r="HH39" s="945"/>
      <c r="HI39" s="945"/>
      <c r="HJ39" s="945"/>
      <c r="HK39" s="945"/>
      <c r="HL39" s="945"/>
      <c r="HM39" s="945"/>
      <c r="HN39" s="945"/>
      <c r="HO39" s="945"/>
      <c r="HP39" s="945"/>
      <c r="HQ39" s="945"/>
      <c r="HR39" s="945"/>
      <c r="HS39" s="945"/>
      <c r="HT39" s="945"/>
      <c r="HU39" s="945"/>
      <c r="HV39" s="945"/>
      <c r="HW39" s="945"/>
      <c r="HX39" s="945"/>
      <c r="HY39" s="945"/>
      <c r="HZ39" s="945"/>
      <c r="IA39" s="945"/>
      <c r="IB39" s="945"/>
      <c r="IC39" s="945"/>
      <c r="ID39" s="945"/>
      <c r="IE39" s="945"/>
      <c r="IF39" s="945"/>
      <c r="IG39" s="945"/>
      <c r="IH39" s="945"/>
      <c r="II39" s="945"/>
      <c r="IJ39" s="945"/>
      <c r="IK39" s="945"/>
      <c r="IL39" s="945"/>
      <c r="IM39" s="945"/>
      <c r="IN39" s="945"/>
      <c r="IO39" s="945"/>
      <c r="IP39" s="945"/>
      <c r="IQ39" s="945"/>
      <c r="IR39" s="945"/>
      <c r="IS39" s="945"/>
      <c r="IT39" s="945"/>
      <c r="IU39" s="945"/>
      <c r="IV39" s="945"/>
      <c r="IW39" s="945"/>
      <c r="IX39" s="945"/>
      <c r="IY39" s="945"/>
      <c r="IZ39" s="945"/>
      <c r="JA39" s="945"/>
      <c r="JB39" s="945"/>
      <c r="JC39" s="945"/>
      <c r="JD39" s="945"/>
      <c r="JE39" s="945"/>
      <c r="JF39" s="945"/>
      <c r="JG39" s="945"/>
      <c r="JH39" s="945"/>
      <c r="JI39" s="945"/>
      <c r="JJ39" s="945"/>
      <c r="JK39" s="945"/>
      <c r="JL39" s="945"/>
      <c r="JM39" s="945"/>
      <c r="JN39" s="945"/>
      <c r="JO39" s="945"/>
      <c r="JP39" s="945"/>
      <c r="JQ39" s="945"/>
      <c r="JR39" s="945"/>
      <c r="JS39" s="945"/>
      <c r="JT39" s="945"/>
      <c r="JU39" s="945"/>
      <c r="JV39" s="945"/>
      <c r="JW39" s="945"/>
      <c r="JX39" s="945"/>
      <c r="JY39" s="945"/>
      <c r="JZ39" s="945"/>
      <c r="KA39" s="945"/>
      <c r="KB39" s="945"/>
      <c r="KC39" s="945"/>
      <c r="KD39" s="945"/>
      <c r="KE39" s="945"/>
      <c r="KF39" s="945"/>
      <c r="KG39" s="945"/>
      <c r="KH39" s="945"/>
      <c r="KI39" s="945"/>
      <c r="KJ39" s="945"/>
      <c r="KK39" s="945"/>
      <c r="KL39" s="945"/>
      <c r="KM39" s="945"/>
      <c r="KN39" s="945"/>
      <c r="KO39" s="945"/>
      <c r="KP39" s="945"/>
      <c r="KQ39" s="945"/>
      <c r="KR39" s="945"/>
      <c r="KS39" s="945"/>
      <c r="KT39" s="945"/>
      <c r="KU39" s="945"/>
      <c r="KV39" s="945"/>
      <c r="KW39" s="945"/>
      <c r="KX39" s="945"/>
      <c r="KY39" s="945"/>
      <c r="KZ39" s="945"/>
      <c r="LA39" s="945"/>
      <c r="LB39" s="945"/>
      <c r="LC39" s="945"/>
      <c r="LD39" s="945"/>
      <c r="LE39" s="945"/>
      <c r="LF39" s="945"/>
      <c r="LG39" s="945"/>
      <c r="LH39" s="945"/>
      <c r="LI39" s="945"/>
      <c r="LJ39" s="945"/>
      <c r="LK39" s="945"/>
      <c r="LL39" s="945"/>
      <c r="LM39" s="945"/>
      <c r="LN39" s="945"/>
      <c r="LO39" s="945"/>
      <c r="LP39" s="945"/>
      <c r="LQ39" s="945"/>
      <c r="LR39" s="945"/>
      <c r="LS39" s="945"/>
      <c r="LT39" s="945"/>
      <c r="LU39" s="945"/>
      <c r="LV39" s="945"/>
      <c r="LW39" s="945"/>
      <c r="LX39" s="945"/>
      <c r="LY39" s="945"/>
      <c r="LZ39" s="945"/>
      <c r="MA39" s="945"/>
      <c r="MB39" s="945"/>
      <c r="MC39" s="945"/>
      <c r="MD39" s="945"/>
      <c r="ME39" s="945"/>
      <c r="MF39" s="945"/>
      <c r="MG39" s="945"/>
      <c r="MH39" s="945"/>
      <c r="MI39" s="945"/>
      <c r="MJ39" s="945"/>
      <c r="MK39" s="945"/>
      <c r="ML39" s="945"/>
      <c r="MM39" s="945"/>
      <c r="MN39" s="945"/>
      <c r="MO39" s="945"/>
      <c r="MP39" s="945"/>
      <c r="MQ39" s="945"/>
      <c r="MR39" s="945"/>
      <c r="MS39" s="945"/>
      <c r="MT39" s="945"/>
      <c r="MU39" s="945"/>
      <c r="MV39" s="945"/>
      <c r="MW39" s="945"/>
      <c r="MX39" s="945"/>
      <c r="MY39" s="945"/>
      <c r="MZ39" s="945"/>
      <c r="NA39" s="945"/>
      <c r="NB39" s="945"/>
      <c r="NC39" s="945"/>
      <c r="ND39" s="945"/>
      <c r="NE39" s="945"/>
      <c r="NF39" s="945"/>
      <c r="NG39" s="945"/>
      <c r="NH39" s="945"/>
      <c r="NI39" s="945"/>
      <c r="NJ39" s="945"/>
      <c r="NK39" s="945"/>
      <c r="NL39" s="945"/>
      <c r="NM39" s="945"/>
      <c r="NN39" s="945"/>
      <c r="NO39" s="945"/>
      <c r="NP39" s="945"/>
      <c r="NQ39" s="945"/>
      <c r="NR39" s="945"/>
      <c r="NS39" s="945"/>
      <c r="NT39" s="945"/>
      <c r="NU39" s="945"/>
      <c r="NV39" s="945"/>
      <c r="NW39" s="945"/>
      <c r="NX39" s="945"/>
      <c r="NY39" s="945"/>
      <c r="NZ39" s="945"/>
      <c r="OA39" s="945"/>
      <c r="OB39" s="945"/>
      <c r="OC39" s="945"/>
      <c r="OD39" s="945"/>
      <c r="OE39" s="945"/>
      <c r="OF39" s="945"/>
      <c r="OG39" s="945"/>
      <c r="OH39" s="945"/>
      <c r="OI39" s="945"/>
      <c r="OJ39" s="945"/>
      <c r="OK39" s="945"/>
      <c r="OL39" s="945"/>
      <c r="OM39" s="945"/>
      <c r="ON39" s="945"/>
      <c r="OO39" s="945"/>
      <c r="OP39" s="945"/>
      <c r="OQ39" s="945"/>
      <c r="OR39" s="945"/>
      <c r="OS39" s="945"/>
      <c r="OT39" s="945"/>
      <c r="OU39" s="945"/>
      <c r="OV39" s="945"/>
      <c r="OW39" s="945"/>
      <c r="OX39" s="945"/>
      <c r="OY39" s="945"/>
      <c r="OZ39" s="945"/>
      <c r="PA39" s="945"/>
      <c r="PB39" s="945"/>
      <c r="PC39" s="945"/>
      <c r="PD39" s="945"/>
      <c r="PE39" s="945"/>
      <c r="PF39" s="945"/>
      <c r="PG39" s="945"/>
      <c r="PH39" s="945"/>
      <c r="PI39" s="945"/>
      <c r="PJ39" s="945"/>
      <c r="PK39" s="945"/>
      <c r="PL39" s="945"/>
      <c r="PM39" s="945"/>
      <c r="PN39" s="945"/>
      <c r="PO39" s="945"/>
    </row>
    <row r="40" spans="1:431" s="165" customFormat="1">
      <c r="A40" s="945"/>
      <c r="B40" s="945"/>
      <c r="C40" s="948"/>
      <c r="D40" s="948"/>
      <c r="E40" s="948"/>
      <c r="F40" s="948"/>
      <c r="G40" s="948"/>
      <c r="H40" s="948"/>
      <c r="I40" s="948"/>
      <c r="J40" s="948"/>
      <c r="K40" s="948"/>
      <c r="L40" s="948"/>
      <c r="M40" s="945"/>
      <c r="N40" s="945"/>
      <c r="O40" s="945"/>
      <c r="P40" s="945"/>
      <c r="Q40" s="945"/>
      <c r="R40" s="945"/>
      <c r="S40" s="945"/>
      <c r="T40" s="945"/>
      <c r="U40" s="945"/>
      <c r="V40" s="945"/>
      <c r="W40" s="945"/>
      <c r="X40" s="945"/>
      <c r="Y40" s="945"/>
      <c r="Z40" s="945"/>
      <c r="AA40" s="945"/>
      <c r="AB40" s="945"/>
      <c r="AC40" s="945"/>
      <c r="AD40" s="945"/>
      <c r="AE40" s="945"/>
      <c r="AF40" s="945"/>
      <c r="AG40" s="945"/>
      <c r="AH40" s="945"/>
      <c r="AI40" s="945"/>
      <c r="AJ40" s="945"/>
      <c r="AK40" s="945"/>
      <c r="AL40" s="945"/>
      <c r="AM40" s="945"/>
      <c r="AN40" s="945"/>
      <c r="AO40" s="945"/>
      <c r="AP40" s="945"/>
      <c r="AQ40" s="945"/>
      <c r="AR40" s="945"/>
      <c r="AS40" s="945"/>
      <c r="AT40" s="945"/>
      <c r="AU40" s="945"/>
      <c r="AV40" s="945"/>
      <c r="AW40" s="945"/>
      <c r="AX40" s="945"/>
      <c r="AY40" s="945"/>
      <c r="AZ40" s="945"/>
      <c r="BA40" s="945"/>
      <c r="BB40" s="945"/>
      <c r="BC40" s="945"/>
      <c r="BD40" s="945"/>
      <c r="BE40" s="945"/>
      <c r="BF40" s="945"/>
      <c r="BG40" s="945"/>
      <c r="BH40" s="945"/>
      <c r="BI40" s="945"/>
      <c r="BJ40" s="945"/>
      <c r="BK40" s="945"/>
      <c r="BL40" s="945"/>
      <c r="BM40" s="945"/>
      <c r="BN40" s="945"/>
      <c r="BO40" s="945"/>
      <c r="BP40" s="945"/>
      <c r="BQ40" s="945"/>
      <c r="BR40" s="945"/>
      <c r="BS40" s="945"/>
      <c r="BT40" s="945"/>
      <c r="BU40" s="945"/>
      <c r="BV40" s="945"/>
      <c r="BW40" s="945"/>
      <c r="BX40" s="945"/>
      <c r="BY40" s="945"/>
      <c r="BZ40" s="945"/>
      <c r="CA40" s="945"/>
      <c r="CB40" s="945"/>
      <c r="CC40" s="945"/>
      <c r="CD40" s="945"/>
      <c r="CE40" s="945"/>
      <c r="CF40" s="945"/>
      <c r="CG40" s="945"/>
      <c r="CH40" s="945"/>
      <c r="CI40" s="945"/>
      <c r="CJ40" s="945"/>
      <c r="CK40" s="945"/>
      <c r="CL40" s="945"/>
      <c r="CM40" s="945"/>
      <c r="CN40" s="945"/>
      <c r="CO40" s="945"/>
      <c r="CP40" s="945"/>
      <c r="CQ40" s="945"/>
      <c r="CR40" s="945"/>
      <c r="CS40" s="945"/>
      <c r="CT40" s="945"/>
      <c r="CU40" s="945"/>
      <c r="CV40" s="945"/>
      <c r="CW40" s="945"/>
      <c r="CX40" s="945"/>
      <c r="CY40" s="945"/>
      <c r="CZ40" s="945"/>
      <c r="DA40" s="945"/>
      <c r="DB40" s="945"/>
      <c r="DC40" s="945"/>
      <c r="DD40" s="945"/>
      <c r="DE40" s="945"/>
      <c r="DF40" s="945"/>
      <c r="DG40" s="945"/>
      <c r="DH40" s="945"/>
      <c r="DI40" s="945"/>
      <c r="DJ40" s="945"/>
      <c r="DK40" s="945"/>
      <c r="DL40" s="945"/>
      <c r="DM40" s="945"/>
      <c r="DN40" s="945"/>
      <c r="DO40" s="945"/>
      <c r="DP40" s="945"/>
      <c r="DQ40" s="945"/>
      <c r="DR40" s="945"/>
      <c r="DS40" s="945"/>
      <c r="DT40" s="945"/>
      <c r="DU40" s="945"/>
      <c r="DV40" s="945"/>
      <c r="DW40" s="945"/>
      <c r="DX40" s="945"/>
      <c r="DY40" s="945"/>
      <c r="DZ40" s="945"/>
      <c r="EA40" s="945"/>
      <c r="EB40" s="945"/>
      <c r="EC40" s="945"/>
      <c r="ED40" s="945"/>
      <c r="EE40" s="945"/>
      <c r="EF40" s="945"/>
      <c r="EG40" s="945"/>
      <c r="EH40" s="945"/>
      <c r="EI40" s="945"/>
      <c r="EJ40" s="945"/>
      <c r="EK40" s="945"/>
      <c r="EL40" s="945"/>
      <c r="EM40" s="945"/>
      <c r="EN40" s="945"/>
      <c r="EO40" s="945"/>
      <c r="EP40" s="945"/>
      <c r="EQ40" s="945"/>
      <c r="ER40" s="945"/>
      <c r="ES40" s="945"/>
      <c r="ET40" s="945"/>
      <c r="EU40" s="945"/>
      <c r="EV40" s="945"/>
      <c r="EW40" s="945"/>
      <c r="EX40" s="945"/>
      <c r="EY40" s="945"/>
      <c r="EZ40" s="945"/>
      <c r="FA40" s="945"/>
      <c r="FB40" s="945"/>
      <c r="FC40" s="945"/>
      <c r="FD40" s="945"/>
      <c r="FE40" s="945"/>
      <c r="FF40" s="945"/>
      <c r="FG40" s="945"/>
      <c r="FH40" s="945"/>
      <c r="FI40" s="945"/>
      <c r="FJ40" s="945"/>
      <c r="FK40" s="945"/>
      <c r="FL40" s="945"/>
      <c r="FM40" s="945"/>
      <c r="FN40" s="945"/>
      <c r="FO40" s="945"/>
      <c r="FP40" s="945"/>
      <c r="FQ40" s="945"/>
      <c r="FR40" s="945"/>
      <c r="FS40" s="945"/>
      <c r="FT40" s="945"/>
      <c r="FU40" s="945"/>
      <c r="FV40" s="945"/>
      <c r="FW40" s="945"/>
      <c r="FX40" s="945"/>
      <c r="FY40" s="945"/>
      <c r="FZ40" s="945"/>
      <c r="GA40" s="945"/>
      <c r="GB40" s="945"/>
      <c r="GC40" s="945"/>
      <c r="GD40" s="945"/>
      <c r="GE40" s="945"/>
      <c r="GF40" s="945"/>
      <c r="GG40" s="945"/>
      <c r="GH40" s="945"/>
      <c r="GI40" s="945"/>
      <c r="GJ40" s="945"/>
      <c r="GK40" s="945"/>
      <c r="GL40" s="945"/>
      <c r="GM40" s="945"/>
      <c r="GN40" s="945"/>
      <c r="GO40" s="945"/>
      <c r="GP40" s="945"/>
      <c r="GQ40" s="945"/>
      <c r="GR40" s="945"/>
      <c r="GS40" s="945"/>
      <c r="GT40" s="945"/>
      <c r="GU40" s="945"/>
      <c r="GV40" s="945"/>
      <c r="GW40" s="945"/>
      <c r="GX40" s="945"/>
      <c r="GY40" s="945"/>
      <c r="GZ40" s="945"/>
      <c r="HA40" s="945"/>
      <c r="HB40" s="945"/>
      <c r="HC40" s="945"/>
      <c r="HD40" s="945"/>
      <c r="HE40" s="945"/>
      <c r="HF40" s="945"/>
      <c r="HG40" s="945"/>
      <c r="HH40" s="945"/>
      <c r="HI40" s="945"/>
      <c r="HJ40" s="945"/>
      <c r="HK40" s="945"/>
      <c r="HL40" s="945"/>
      <c r="HM40" s="945"/>
      <c r="HN40" s="945"/>
      <c r="HO40" s="945"/>
      <c r="HP40" s="945"/>
      <c r="HQ40" s="945"/>
      <c r="HR40" s="945"/>
      <c r="HS40" s="945"/>
      <c r="HT40" s="945"/>
      <c r="HU40" s="945"/>
      <c r="HV40" s="945"/>
      <c r="HW40" s="945"/>
      <c r="HX40" s="945"/>
      <c r="HY40" s="945"/>
      <c r="HZ40" s="945"/>
      <c r="IA40" s="945"/>
      <c r="IB40" s="945"/>
      <c r="IC40" s="945"/>
      <c r="ID40" s="945"/>
      <c r="IE40" s="945"/>
      <c r="IF40" s="945"/>
      <c r="IG40" s="945"/>
      <c r="IH40" s="945"/>
      <c r="II40" s="945"/>
      <c r="IJ40" s="945"/>
      <c r="IK40" s="945"/>
      <c r="IL40" s="945"/>
      <c r="IM40" s="945"/>
      <c r="IN40" s="945"/>
      <c r="IO40" s="945"/>
      <c r="IP40" s="945"/>
      <c r="IQ40" s="945"/>
      <c r="IR40" s="945"/>
      <c r="IS40" s="945"/>
      <c r="IT40" s="945"/>
      <c r="IU40" s="945"/>
      <c r="IV40" s="945"/>
      <c r="IW40" s="945"/>
      <c r="IX40" s="945"/>
      <c r="IY40" s="945"/>
      <c r="IZ40" s="945"/>
      <c r="JA40" s="945"/>
      <c r="JB40" s="945"/>
      <c r="JC40" s="945"/>
      <c r="JD40" s="945"/>
      <c r="JE40" s="945"/>
      <c r="JF40" s="945"/>
      <c r="JG40" s="945"/>
      <c r="JH40" s="945"/>
      <c r="JI40" s="945"/>
      <c r="JJ40" s="945"/>
      <c r="JK40" s="945"/>
      <c r="JL40" s="945"/>
      <c r="JM40" s="945"/>
      <c r="JN40" s="945"/>
      <c r="JO40" s="945"/>
      <c r="JP40" s="945"/>
      <c r="JQ40" s="945"/>
      <c r="JR40" s="945"/>
      <c r="JS40" s="945"/>
      <c r="JT40" s="945"/>
      <c r="JU40" s="945"/>
      <c r="JV40" s="945"/>
      <c r="JW40" s="945"/>
      <c r="JX40" s="945"/>
      <c r="JY40" s="945"/>
      <c r="JZ40" s="945"/>
      <c r="KA40" s="945"/>
      <c r="KB40" s="945"/>
      <c r="KC40" s="945"/>
      <c r="KD40" s="945"/>
      <c r="KE40" s="945"/>
      <c r="KF40" s="945"/>
      <c r="KG40" s="945"/>
      <c r="KH40" s="945"/>
      <c r="KI40" s="945"/>
      <c r="KJ40" s="945"/>
      <c r="KK40" s="945"/>
      <c r="KL40" s="945"/>
      <c r="KM40" s="945"/>
      <c r="KN40" s="945"/>
      <c r="KO40" s="945"/>
      <c r="KP40" s="945"/>
      <c r="KQ40" s="945"/>
      <c r="KR40" s="945"/>
      <c r="KS40" s="945"/>
      <c r="KT40" s="945"/>
      <c r="KU40" s="945"/>
      <c r="KV40" s="945"/>
      <c r="KW40" s="945"/>
      <c r="KX40" s="945"/>
      <c r="KY40" s="945"/>
      <c r="KZ40" s="945"/>
      <c r="LA40" s="945"/>
      <c r="LB40" s="945"/>
      <c r="LC40" s="945"/>
      <c r="LD40" s="945"/>
      <c r="LE40" s="945"/>
      <c r="LF40" s="945"/>
      <c r="LG40" s="945"/>
      <c r="LH40" s="945"/>
      <c r="LI40" s="945"/>
      <c r="LJ40" s="945"/>
      <c r="LK40" s="945"/>
      <c r="LL40" s="945"/>
      <c r="LM40" s="945"/>
      <c r="LN40" s="945"/>
      <c r="LO40" s="945"/>
      <c r="LP40" s="945"/>
      <c r="LQ40" s="945"/>
      <c r="LR40" s="945"/>
      <c r="LS40" s="945"/>
      <c r="LT40" s="945"/>
      <c r="LU40" s="945"/>
      <c r="LV40" s="945"/>
      <c r="LW40" s="945"/>
      <c r="LX40" s="945"/>
      <c r="LY40" s="945"/>
      <c r="LZ40" s="945"/>
      <c r="MA40" s="945"/>
      <c r="MB40" s="945"/>
      <c r="MC40" s="945"/>
      <c r="MD40" s="945"/>
      <c r="ME40" s="945"/>
      <c r="MF40" s="945"/>
      <c r="MG40" s="945"/>
      <c r="MH40" s="945"/>
      <c r="MI40" s="945"/>
      <c r="MJ40" s="945"/>
      <c r="MK40" s="945"/>
      <c r="ML40" s="945"/>
      <c r="MM40" s="945"/>
      <c r="MN40" s="945"/>
      <c r="MO40" s="945"/>
      <c r="MP40" s="945"/>
      <c r="MQ40" s="945"/>
      <c r="MR40" s="945"/>
      <c r="MS40" s="945"/>
      <c r="MT40" s="945"/>
      <c r="MU40" s="945"/>
      <c r="MV40" s="945"/>
      <c r="MW40" s="945"/>
      <c r="MX40" s="945"/>
      <c r="MY40" s="945"/>
      <c r="MZ40" s="945"/>
      <c r="NA40" s="945"/>
      <c r="NB40" s="945"/>
      <c r="NC40" s="945"/>
      <c r="ND40" s="945"/>
      <c r="NE40" s="945"/>
      <c r="NF40" s="945"/>
      <c r="NG40" s="945"/>
      <c r="NH40" s="945"/>
      <c r="NI40" s="945"/>
      <c r="NJ40" s="945"/>
      <c r="NK40" s="945"/>
      <c r="NL40" s="945"/>
      <c r="NM40" s="945"/>
      <c r="NN40" s="945"/>
      <c r="NO40" s="945"/>
      <c r="NP40" s="945"/>
      <c r="NQ40" s="945"/>
      <c r="NR40" s="945"/>
      <c r="NS40" s="945"/>
      <c r="NT40" s="945"/>
      <c r="NU40" s="945"/>
      <c r="NV40" s="945"/>
      <c r="NW40" s="945"/>
      <c r="NX40" s="945"/>
      <c r="NY40" s="945"/>
      <c r="NZ40" s="945"/>
      <c r="OA40" s="945"/>
      <c r="OB40" s="945"/>
      <c r="OC40" s="945"/>
      <c r="OD40" s="945"/>
      <c r="OE40" s="945"/>
      <c r="OF40" s="945"/>
      <c r="OG40" s="945"/>
      <c r="OH40" s="945"/>
      <c r="OI40" s="945"/>
      <c r="OJ40" s="945"/>
      <c r="OK40" s="945"/>
      <c r="OL40" s="945"/>
      <c r="OM40" s="945"/>
      <c r="ON40" s="945"/>
      <c r="OO40" s="945"/>
      <c r="OP40" s="945"/>
      <c r="OQ40" s="945"/>
      <c r="OR40" s="945"/>
      <c r="OS40" s="945"/>
      <c r="OT40" s="945"/>
      <c r="OU40" s="945"/>
      <c r="OV40" s="945"/>
      <c r="OW40" s="945"/>
      <c r="OX40" s="945"/>
      <c r="OY40" s="945"/>
      <c r="OZ40" s="945"/>
      <c r="PA40" s="945"/>
      <c r="PB40" s="945"/>
      <c r="PC40" s="945"/>
      <c r="PD40" s="945"/>
      <c r="PE40" s="945"/>
      <c r="PF40" s="945"/>
      <c r="PG40" s="945"/>
      <c r="PH40" s="945"/>
      <c r="PI40" s="945"/>
      <c r="PJ40" s="945"/>
      <c r="PK40" s="945"/>
      <c r="PL40" s="945"/>
      <c r="PM40" s="945"/>
      <c r="PN40" s="945"/>
      <c r="PO40" s="945"/>
    </row>
    <row r="41" spans="1:431" s="165" customFormat="1">
      <c r="A41" s="945"/>
      <c r="B41" s="945"/>
      <c r="C41" s="948"/>
      <c r="D41" s="948"/>
      <c r="E41" s="948"/>
      <c r="F41" s="948"/>
      <c r="G41" s="948"/>
      <c r="H41" s="948"/>
      <c r="I41" s="948"/>
      <c r="J41" s="948"/>
      <c r="K41" s="948"/>
      <c r="L41" s="948"/>
      <c r="M41" s="945"/>
      <c r="N41" s="945"/>
      <c r="O41" s="945"/>
      <c r="P41" s="945"/>
      <c r="Q41" s="945"/>
      <c r="R41" s="945"/>
      <c r="S41" s="945"/>
      <c r="T41" s="945"/>
      <c r="U41" s="945"/>
      <c r="V41" s="945"/>
      <c r="W41" s="945"/>
      <c r="X41" s="945"/>
      <c r="Y41" s="945"/>
      <c r="Z41" s="945"/>
      <c r="AA41" s="945"/>
      <c r="AB41" s="945"/>
      <c r="AC41" s="945"/>
      <c r="AD41" s="945"/>
      <c r="AE41" s="945"/>
      <c r="AF41" s="945"/>
      <c r="AG41" s="945"/>
      <c r="AH41" s="945"/>
      <c r="AI41" s="945"/>
      <c r="AJ41" s="945"/>
      <c r="AK41" s="945"/>
      <c r="AL41" s="945"/>
      <c r="AM41" s="945"/>
      <c r="AN41" s="945"/>
      <c r="AO41" s="945"/>
      <c r="AP41" s="945"/>
      <c r="AQ41" s="945"/>
      <c r="AR41" s="945"/>
      <c r="AS41" s="945"/>
      <c r="AT41" s="945"/>
      <c r="AU41" s="945"/>
      <c r="AV41" s="945"/>
      <c r="AW41" s="945"/>
      <c r="AX41" s="945"/>
      <c r="AY41" s="945"/>
      <c r="AZ41" s="945"/>
      <c r="BA41" s="945"/>
      <c r="BB41" s="945"/>
      <c r="BC41" s="945"/>
      <c r="BD41" s="945"/>
      <c r="BE41" s="945"/>
      <c r="BF41" s="945"/>
      <c r="BG41" s="945"/>
      <c r="BH41" s="945"/>
      <c r="BI41" s="945"/>
      <c r="BJ41" s="945"/>
      <c r="BK41" s="945"/>
      <c r="BL41" s="945"/>
      <c r="BM41" s="945"/>
      <c r="BN41" s="945"/>
      <c r="BO41" s="945"/>
      <c r="BP41" s="945"/>
      <c r="BQ41" s="945"/>
      <c r="BR41" s="945"/>
      <c r="BS41" s="945"/>
      <c r="BT41" s="945"/>
      <c r="BU41" s="945"/>
      <c r="BV41" s="945"/>
      <c r="BW41" s="945"/>
      <c r="BX41" s="945"/>
      <c r="BY41" s="945"/>
      <c r="BZ41" s="945"/>
      <c r="CA41" s="945"/>
      <c r="CB41" s="945"/>
      <c r="CC41" s="945"/>
      <c r="CD41" s="945"/>
      <c r="CE41" s="945"/>
      <c r="CF41" s="945"/>
      <c r="CG41" s="945"/>
      <c r="CH41" s="945"/>
      <c r="CI41" s="945"/>
      <c r="CJ41" s="945"/>
      <c r="CK41" s="945"/>
      <c r="CL41" s="945"/>
      <c r="CM41" s="945"/>
      <c r="CN41" s="945"/>
      <c r="CO41" s="945"/>
      <c r="CP41" s="945"/>
      <c r="CQ41" s="945"/>
      <c r="CR41" s="945"/>
      <c r="CS41" s="945"/>
      <c r="CT41" s="945"/>
      <c r="CU41" s="945"/>
      <c r="CV41" s="945"/>
      <c r="CW41" s="945"/>
      <c r="CX41" s="945"/>
      <c r="CY41" s="945"/>
      <c r="CZ41" s="945"/>
      <c r="DA41" s="945"/>
      <c r="DB41" s="945"/>
      <c r="DC41" s="945"/>
      <c r="DD41" s="945"/>
      <c r="DE41" s="945"/>
      <c r="DF41" s="945"/>
      <c r="DG41" s="945"/>
      <c r="DH41" s="945"/>
      <c r="DI41" s="945"/>
      <c r="DJ41" s="945"/>
      <c r="DK41" s="945"/>
      <c r="DL41" s="945"/>
      <c r="DM41" s="945"/>
      <c r="DN41" s="945"/>
      <c r="DO41" s="945"/>
      <c r="DP41" s="945"/>
      <c r="DQ41" s="945"/>
      <c r="DR41" s="945"/>
      <c r="DS41" s="945"/>
      <c r="DT41" s="945"/>
      <c r="DU41" s="945"/>
      <c r="DV41" s="945"/>
      <c r="DW41" s="945"/>
      <c r="DX41" s="945"/>
      <c r="DY41" s="945"/>
      <c r="DZ41" s="945"/>
      <c r="EA41" s="945"/>
      <c r="EB41" s="945"/>
      <c r="EC41" s="945"/>
      <c r="ED41" s="945"/>
      <c r="EE41" s="945"/>
      <c r="EF41" s="945"/>
      <c r="EG41" s="945"/>
      <c r="EH41" s="945"/>
      <c r="EI41" s="945"/>
      <c r="EJ41" s="945"/>
      <c r="EK41" s="945"/>
      <c r="EL41" s="945"/>
      <c r="EM41" s="945"/>
      <c r="EN41" s="945"/>
      <c r="EO41" s="945"/>
      <c r="EP41" s="945"/>
      <c r="EQ41" s="945"/>
      <c r="ER41" s="945"/>
      <c r="ES41" s="945"/>
      <c r="ET41" s="945"/>
      <c r="EU41" s="945"/>
      <c r="EV41" s="945"/>
      <c r="EW41" s="945"/>
      <c r="EX41" s="945"/>
      <c r="EY41" s="945"/>
      <c r="EZ41" s="945"/>
      <c r="FA41" s="945"/>
      <c r="FB41" s="945"/>
      <c r="FC41" s="945"/>
      <c r="FD41" s="945"/>
      <c r="FE41" s="945"/>
      <c r="FF41" s="945"/>
      <c r="FG41" s="945"/>
      <c r="FH41" s="945"/>
      <c r="FI41" s="945"/>
      <c r="FJ41" s="945"/>
      <c r="FK41" s="945"/>
      <c r="FL41" s="945"/>
      <c r="FM41" s="945"/>
      <c r="FN41" s="945"/>
      <c r="FO41" s="945"/>
      <c r="FP41" s="945"/>
      <c r="FQ41" s="945"/>
      <c r="FR41" s="945"/>
      <c r="FS41" s="945"/>
      <c r="FT41" s="945"/>
      <c r="FU41" s="945"/>
      <c r="FV41" s="945"/>
      <c r="FW41" s="945"/>
      <c r="FX41" s="945"/>
      <c r="FY41" s="945"/>
      <c r="FZ41" s="945"/>
      <c r="GA41" s="945"/>
      <c r="GB41" s="945"/>
      <c r="GC41" s="945"/>
      <c r="GD41" s="945"/>
      <c r="GE41" s="945"/>
      <c r="GF41" s="945"/>
      <c r="GG41" s="945"/>
      <c r="GH41" s="945"/>
      <c r="GI41" s="945"/>
      <c r="GJ41" s="945"/>
      <c r="GK41" s="945"/>
      <c r="GL41" s="945"/>
      <c r="GM41" s="945"/>
      <c r="GN41" s="945"/>
      <c r="GO41" s="945"/>
      <c r="GP41" s="945"/>
      <c r="GQ41" s="945"/>
      <c r="GR41" s="945"/>
      <c r="GS41" s="945"/>
      <c r="GT41" s="945"/>
      <c r="GU41" s="945"/>
      <c r="GV41" s="945"/>
      <c r="GW41" s="945"/>
      <c r="GX41" s="945"/>
      <c r="GY41" s="945"/>
      <c r="GZ41" s="945"/>
      <c r="HA41" s="945"/>
      <c r="HB41" s="945"/>
      <c r="HC41" s="945"/>
      <c r="HD41" s="945"/>
      <c r="HE41" s="945"/>
      <c r="HF41" s="945"/>
      <c r="HG41" s="945"/>
      <c r="HH41" s="945"/>
      <c r="HI41" s="945"/>
      <c r="HJ41" s="945"/>
      <c r="HK41" s="945"/>
      <c r="HL41" s="945"/>
      <c r="HM41" s="945"/>
      <c r="HN41" s="945"/>
      <c r="HO41" s="945"/>
      <c r="HP41" s="945"/>
      <c r="HQ41" s="945"/>
      <c r="HR41" s="945"/>
      <c r="HS41" s="945"/>
      <c r="HT41" s="945"/>
      <c r="HU41" s="945"/>
      <c r="HV41" s="945"/>
      <c r="HW41" s="945"/>
      <c r="HX41" s="945"/>
      <c r="HY41" s="945"/>
      <c r="HZ41" s="945"/>
      <c r="IA41" s="945"/>
      <c r="IB41" s="945"/>
      <c r="IC41" s="945"/>
      <c r="ID41" s="945"/>
      <c r="IE41" s="945"/>
      <c r="IF41" s="945"/>
      <c r="IG41" s="945"/>
      <c r="IH41" s="945"/>
      <c r="II41" s="945"/>
      <c r="IJ41" s="945"/>
      <c r="IK41" s="945"/>
      <c r="IL41" s="945"/>
      <c r="IM41" s="945"/>
      <c r="IN41" s="945"/>
      <c r="IO41" s="945"/>
      <c r="IP41" s="945"/>
      <c r="IQ41" s="945"/>
      <c r="IR41" s="945"/>
      <c r="IS41" s="945"/>
      <c r="IT41" s="945"/>
      <c r="IU41" s="945"/>
      <c r="IV41" s="945"/>
      <c r="IW41" s="945"/>
      <c r="IX41" s="945"/>
      <c r="IY41" s="945"/>
      <c r="IZ41" s="945"/>
      <c r="JA41" s="945"/>
      <c r="JB41" s="945"/>
      <c r="JC41" s="945"/>
      <c r="JD41" s="945"/>
      <c r="JE41" s="945"/>
      <c r="JF41" s="945"/>
      <c r="JG41" s="945"/>
      <c r="JH41" s="945"/>
      <c r="JI41" s="945"/>
      <c r="JJ41" s="945"/>
      <c r="JK41" s="945"/>
      <c r="JL41" s="945"/>
      <c r="JM41" s="945"/>
      <c r="JN41" s="945"/>
      <c r="JO41" s="945"/>
      <c r="JP41" s="945"/>
      <c r="JQ41" s="945"/>
      <c r="JR41" s="945"/>
      <c r="JS41" s="945"/>
      <c r="JT41" s="945"/>
      <c r="JU41" s="945"/>
      <c r="JV41" s="945"/>
      <c r="JW41" s="945"/>
      <c r="JX41" s="945"/>
      <c r="JY41" s="945"/>
      <c r="JZ41" s="945"/>
      <c r="KA41" s="945"/>
      <c r="KB41" s="945"/>
      <c r="KC41" s="945"/>
      <c r="KD41" s="945"/>
      <c r="KE41" s="945"/>
      <c r="KF41" s="945"/>
      <c r="KG41" s="945"/>
      <c r="KH41" s="945"/>
      <c r="KI41" s="945"/>
      <c r="KJ41" s="945"/>
      <c r="KK41" s="945"/>
      <c r="KL41" s="945"/>
      <c r="KM41" s="945"/>
      <c r="KN41" s="945"/>
      <c r="KO41" s="945"/>
      <c r="KP41" s="945"/>
      <c r="KQ41" s="945"/>
      <c r="KR41" s="945"/>
      <c r="KS41" s="945"/>
      <c r="KT41" s="945"/>
      <c r="KU41" s="945"/>
      <c r="KV41" s="945"/>
      <c r="KW41" s="945"/>
      <c r="KX41" s="945"/>
      <c r="KY41" s="945"/>
      <c r="KZ41" s="945"/>
      <c r="LA41" s="945"/>
      <c r="LB41" s="945"/>
      <c r="LC41" s="945"/>
      <c r="LD41" s="945"/>
      <c r="LE41" s="945"/>
      <c r="LF41" s="945"/>
      <c r="LG41" s="945"/>
      <c r="LH41" s="945"/>
      <c r="LI41" s="945"/>
      <c r="LJ41" s="945"/>
      <c r="LK41" s="945"/>
      <c r="LL41" s="945"/>
      <c r="LM41" s="945"/>
      <c r="LN41" s="945"/>
      <c r="LO41" s="945"/>
      <c r="LP41" s="945"/>
      <c r="LQ41" s="945"/>
      <c r="LR41" s="945"/>
      <c r="LS41" s="945"/>
      <c r="LT41" s="945"/>
      <c r="LU41" s="945"/>
      <c r="LV41" s="945"/>
      <c r="LW41" s="945"/>
      <c r="LX41" s="945"/>
      <c r="LY41" s="945"/>
      <c r="LZ41" s="945"/>
      <c r="MA41" s="945"/>
      <c r="MB41" s="945"/>
      <c r="MC41" s="945"/>
      <c r="MD41" s="945"/>
      <c r="ME41" s="945"/>
      <c r="MF41" s="945"/>
      <c r="MG41" s="945"/>
      <c r="MH41" s="945"/>
      <c r="MI41" s="945"/>
      <c r="MJ41" s="945"/>
      <c r="MK41" s="945"/>
      <c r="ML41" s="945"/>
      <c r="MM41" s="945"/>
      <c r="MN41" s="945"/>
      <c r="MO41" s="945"/>
      <c r="MP41" s="945"/>
      <c r="MQ41" s="945"/>
      <c r="MR41" s="945"/>
      <c r="MS41" s="945"/>
      <c r="MT41" s="945"/>
      <c r="MU41" s="945"/>
      <c r="MV41" s="945"/>
      <c r="MW41" s="945"/>
      <c r="MX41" s="945"/>
      <c r="MY41" s="945"/>
      <c r="MZ41" s="945"/>
      <c r="NA41" s="945"/>
      <c r="NB41" s="945"/>
      <c r="NC41" s="945"/>
      <c r="ND41" s="945"/>
      <c r="NE41" s="945"/>
      <c r="NF41" s="945"/>
      <c r="NG41" s="945"/>
      <c r="NH41" s="945"/>
      <c r="NI41" s="945"/>
      <c r="NJ41" s="945"/>
      <c r="NK41" s="945"/>
      <c r="NL41" s="945"/>
      <c r="NM41" s="945"/>
      <c r="NN41" s="945"/>
      <c r="NO41" s="945"/>
      <c r="NP41" s="945"/>
      <c r="NQ41" s="945"/>
      <c r="NR41" s="945"/>
      <c r="NS41" s="945"/>
      <c r="NT41" s="945"/>
      <c r="NU41" s="945"/>
      <c r="NV41" s="945"/>
      <c r="NW41" s="945"/>
      <c r="NX41" s="945"/>
      <c r="NY41" s="945"/>
      <c r="NZ41" s="945"/>
      <c r="OA41" s="945"/>
      <c r="OB41" s="945"/>
      <c r="OC41" s="945"/>
      <c r="OD41" s="945"/>
      <c r="OE41" s="945"/>
      <c r="OF41" s="945"/>
      <c r="OG41" s="945"/>
      <c r="OH41" s="945"/>
      <c r="OI41" s="945"/>
      <c r="OJ41" s="945"/>
      <c r="OK41" s="945"/>
      <c r="OL41" s="945"/>
      <c r="OM41" s="945"/>
      <c r="ON41" s="945"/>
      <c r="OO41" s="945"/>
      <c r="OP41" s="945"/>
      <c r="OQ41" s="945"/>
      <c r="OR41" s="945"/>
      <c r="OS41" s="945"/>
      <c r="OT41" s="945"/>
      <c r="OU41" s="945"/>
      <c r="OV41" s="945"/>
      <c r="OW41" s="945"/>
      <c r="OX41" s="945"/>
      <c r="OY41" s="945"/>
      <c r="OZ41" s="945"/>
      <c r="PA41" s="945"/>
      <c r="PB41" s="945"/>
      <c r="PC41" s="945"/>
      <c r="PD41" s="945"/>
      <c r="PE41" s="945"/>
      <c r="PF41" s="945"/>
      <c r="PG41" s="945"/>
      <c r="PH41" s="945"/>
      <c r="PI41" s="945"/>
      <c r="PJ41" s="945"/>
      <c r="PK41" s="945"/>
      <c r="PL41" s="945"/>
      <c r="PM41" s="945"/>
      <c r="PN41" s="945"/>
      <c r="PO41" s="945"/>
    </row>
    <row r="42" spans="1:431" s="165" customFormat="1">
      <c r="A42" s="945"/>
      <c r="B42" s="945"/>
      <c r="C42" s="948"/>
      <c r="D42" s="948"/>
      <c r="E42" s="948"/>
      <c r="F42" s="948"/>
      <c r="G42" s="948"/>
      <c r="H42" s="948"/>
      <c r="I42" s="948"/>
      <c r="J42" s="948"/>
      <c r="K42" s="948"/>
      <c r="L42" s="948"/>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5"/>
      <c r="AY42" s="945"/>
      <c r="AZ42" s="945"/>
      <c r="BA42" s="945"/>
      <c r="BB42" s="945"/>
      <c r="BC42" s="945"/>
      <c r="BD42" s="945"/>
      <c r="BE42" s="945"/>
      <c r="BF42" s="945"/>
      <c r="BG42" s="945"/>
      <c r="BH42" s="945"/>
      <c r="BI42" s="945"/>
      <c r="BJ42" s="945"/>
      <c r="BK42" s="945"/>
      <c r="BL42" s="945"/>
      <c r="BM42" s="945"/>
      <c r="BN42" s="945"/>
      <c r="BO42" s="945"/>
      <c r="BP42" s="945"/>
      <c r="BQ42" s="945"/>
      <c r="BR42" s="945"/>
      <c r="BS42" s="945"/>
      <c r="BT42" s="945"/>
      <c r="BU42" s="945"/>
      <c r="BV42" s="945"/>
      <c r="BW42" s="945"/>
      <c r="BX42" s="945"/>
      <c r="BY42" s="945"/>
      <c r="BZ42" s="945"/>
      <c r="CA42" s="945"/>
      <c r="CB42" s="945"/>
      <c r="CC42" s="945"/>
      <c r="CD42" s="945"/>
      <c r="CE42" s="945"/>
      <c r="CF42" s="945"/>
      <c r="CG42" s="945"/>
      <c r="CH42" s="945"/>
      <c r="CI42" s="945"/>
      <c r="CJ42" s="945"/>
      <c r="CK42" s="945"/>
      <c r="CL42" s="945"/>
      <c r="CM42" s="945"/>
      <c r="CN42" s="945"/>
      <c r="CO42" s="945"/>
      <c r="CP42" s="945"/>
      <c r="CQ42" s="945"/>
      <c r="CR42" s="945"/>
      <c r="CS42" s="945"/>
      <c r="CT42" s="945"/>
      <c r="CU42" s="945"/>
      <c r="CV42" s="945"/>
      <c r="CW42" s="945"/>
      <c r="CX42" s="945"/>
      <c r="CY42" s="945"/>
      <c r="CZ42" s="945"/>
      <c r="DA42" s="945"/>
      <c r="DB42" s="945"/>
      <c r="DC42" s="945"/>
      <c r="DD42" s="945"/>
      <c r="DE42" s="945"/>
      <c r="DF42" s="945"/>
      <c r="DG42" s="945"/>
      <c r="DH42" s="945"/>
      <c r="DI42" s="945"/>
      <c r="DJ42" s="945"/>
      <c r="DK42" s="945"/>
      <c r="DL42" s="945"/>
      <c r="DM42" s="945"/>
      <c r="DN42" s="945"/>
      <c r="DO42" s="945"/>
      <c r="DP42" s="945"/>
      <c r="DQ42" s="945"/>
      <c r="DR42" s="945"/>
      <c r="DS42" s="945"/>
      <c r="DT42" s="945"/>
      <c r="DU42" s="945"/>
      <c r="DV42" s="945"/>
      <c r="DW42" s="945"/>
      <c r="DX42" s="945"/>
      <c r="DY42" s="945"/>
      <c r="DZ42" s="945"/>
      <c r="EA42" s="945"/>
      <c r="EB42" s="945"/>
      <c r="EC42" s="945"/>
      <c r="ED42" s="945"/>
      <c r="EE42" s="945"/>
      <c r="EF42" s="945"/>
      <c r="EG42" s="945"/>
      <c r="EH42" s="945"/>
      <c r="EI42" s="945"/>
      <c r="EJ42" s="945"/>
      <c r="EK42" s="945"/>
      <c r="EL42" s="945"/>
      <c r="EM42" s="945"/>
      <c r="EN42" s="945"/>
      <c r="EO42" s="945"/>
      <c r="EP42" s="945"/>
      <c r="EQ42" s="945"/>
      <c r="ER42" s="945"/>
      <c r="ES42" s="945"/>
      <c r="ET42" s="945"/>
      <c r="EU42" s="945"/>
      <c r="EV42" s="945"/>
      <c r="EW42" s="945"/>
      <c r="EX42" s="945"/>
      <c r="EY42" s="945"/>
      <c r="EZ42" s="945"/>
      <c r="FA42" s="945"/>
      <c r="FB42" s="945"/>
      <c r="FC42" s="945"/>
      <c r="FD42" s="945"/>
      <c r="FE42" s="945"/>
      <c r="FF42" s="945"/>
      <c r="FG42" s="945"/>
      <c r="FH42" s="945"/>
      <c r="FI42" s="945"/>
      <c r="FJ42" s="945"/>
      <c r="FK42" s="945"/>
      <c r="FL42" s="945"/>
      <c r="FM42" s="945"/>
      <c r="FN42" s="945"/>
      <c r="FO42" s="945"/>
      <c r="FP42" s="945"/>
      <c r="FQ42" s="945"/>
      <c r="FR42" s="945"/>
      <c r="FS42" s="945"/>
      <c r="FT42" s="945"/>
      <c r="FU42" s="945"/>
      <c r="FV42" s="945"/>
      <c r="FW42" s="945"/>
      <c r="FX42" s="945"/>
      <c r="FY42" s="945"/>
      <c r="FZ42" s="945"/>
      <c r="GA42" s="945"/>
      <c r="GB42" s="945"/>
      <c r="GC42" s="945"/>
      <c r="GD42" s="945"/>
      <c r="GE42" s="945"/>
      <c r="GF42" s="945"/>
      <c r="GG42" s="945"/>
      <c r="GH42" s="945"/>
      <c r="GI42" s="945"/>
      <c r="GJ42" s="945"/>
      <c r="GK42" s="945"/>
      <c r="GL42" s="945"/>
      <c r="GM42" s="945"/>
      <c r="GN42" s="945"/>
      <c r="GO42" s="945"/>
      <c r="GP42" s="945"/>
      <c r="GQ42" s="945"/>
      <c r="GR42" s="945"/>
      <c r="GS42" s="945"/>
      <c r="GT42" s="945"/>
      <c r="GU42" s="945"/>
      <c r="GV42" s="945"/>
      <c r="GW42" s="945"/>
      <c r="GX42" s="945"/>
      <c r="GY42" s="945"/>
      <c r="GZ42" s="945"/>
      <c r="HA42" s="945"/>
      <c r="HB42" s="945"/>
      <c r="HC42" s="945"/>
      <c r="HD42" s="945"/>
      <c r="HE42" s="945"/>
      <c r="HF42" s="945"/>
      <c r="HG42" s="945"/>
      <c r="HH42" s="945"/>
      <c r="HI42" s="945"/>
      <c r="HJ42" s="945"/>
      <c r="HK42" s="945"/>
      <c r="HL42" s="945"/>
      <c r="HM42" s="945"/>
      <c r="HN42" s="945"/>
      <c r="HO42" s="945"/>
      <c r="HP42" s="945"/>
      <c r="HQ42" s="945"/>
      <c r="HR42" s="945"/>
      <c r="HS42" s="945"/>
      <c r="HT42" s="945"/>
      <c r="HU42" s="945"/>
      <c r="HV42" s="945"/>
      <c r="HW42" s="945"/>
      <c r="HX42" s="945"/>
      <c r="HY42" s="945"/>
      <c r="HZ42" s="945"/>
      <c r="IA42" s="945"/>
      <c r="IB42" s="945"/>
      <c r="IC42" s="945"/>
      <c r="ID42" s="945"/>
      <c r="IE42" s="945"/>
      <c r="IF42" s="945"/>
      <c r="IG42" s="945"/>
      <c r="IH42" s="945"/>
      <c r="II42" s="945"/>
      <c r="IJ42" s="945"/>
      <c r="IK42" s="945"/>
      <c r="IL42" s="945"/>
      <c r="IM42" s="945"/>
      <c r="IN42" s="945"/>
      <c r="IO42" s="945"/>
      <c r="IP42" s="945"/>
      <c r="IQ42" s="945"/>
      <c r="IR42" s="945"/>
      <c r="IS42" s="945"/>
      <c r="IT42" s="945"/>
      <c r="IU42" s="945"/>
      <c r="IV42" s="945"/>
      <c r="IW42" s="945"/>
      <c r="IX42" s="945"/>
      <c r="IY42" s="945"/>
      <c r="IZ42" s="945"/>
      <c r="JA42" s="945"/>
      <c r="JB42" s="945"/>
      <c r="JC42" s="945"/>
      <c r="JD42" s="945"/>
      <c r="JE42" s="945"/>
      <c r="JF42" s="945"/>
      <c r="JG42" s="945"/>
      <c r="JH42" s="945"/>
      <c r="JI42" s="945"/>
      <c r="JJ42" s="945"/>
      <c r="JK42" s="945"/>
      <c r="JL42" s="945"/>
      <c r="JM42" s="945"/>
      <c r="JN42" s="945"/>
      <c r="JO42" s="945"/>
      <c r="JP42" s="945"/>
      <c r="JQ42" s="945"/>
      <c r="JR42" s="945"/>
      <c r="JS42" s="945"/>
      <c r="JT42" s="945"/>
      <c r="JU42" s="945"/>
      <c r="JV42" s="945"/>
      <c r="JW42" s="945"/>
      <c r="JX42" s="945"/>
      <c r="JY42" s="945"/>
      <c r="JZ42" s="945"/>
      <c r="KA42" s="945"/>
      <c r="KB42" s="945"/>
      <c r="KC42" s="945"/>
      <c r="KD42" s="945"/>
      <c r="KE42" s="945"/>
      <c r="KF42" s="945"/>
      <c r="KG42" s="945"/>
      <c r="KH42" s="945"/>
      <c r="KI42" s="945"/>
      <c r="KJ42" s="945"/>
      <c r="KK42" s="945"/>
      <c r="KL42" s="945"/>
      <c r="KM42" s="945"/>
      <c r="KN42" s="945"/>
      <c r="KO42" s="945"/>
      <c r="KP42" s="945"/>
      <c r="KQ42" s="945"/>
      <c r="KR42" s="945"/>
      <c r="KS42" s="945"/>
      <c r="KT42" s="945"/>
      <c r="KU42" s="945"/>
      <c r="KV42" s="945"/>
      <c r="KW42" s="945"/>
      <c r="KX42" s="945"/>
      <c r="KY42" s="945"/>
      <c r="KZ42" s="945"/>
      <c r="LA42" s="945"/>
      <c r="LB42" s="945"/>
      <c r="LC42" s="945"/>
      <c r="LD42" s="945"/>
      <c r="LE42" s="945"/>
      <c r="LF42" s="945"/>
      <c r="LG42" s="945"/>
      <c r="LH42" s="945"/>
      <c r="LI42" s="945"/>
      <c r="LJ42" s="945"/>
      <c r="LK42" s="945"/>
      <c r="LL42" s="945"/>
      <c r="LM42" s="945"/>
      <c r="LN42" s="945"/>
      <c r="LO42" s="945"/>
      <c r="LP42" s="945"/>
      <c r="LQ42" s="945"/>
      <c r="LR42" s="945"/>
      <c r="LS42" s="945"/>
      <c r="LT42" s="945"/>
      <c r="LU42" s="945"/>
      <c r="LV42" s="945"/>
      <c r="LW42" s="945"/>
      <c r="LX42" s="945"/>
      <c r="LY42" s="945"/>
      <c r="LZ42" s="945"/>
      <c r="MA42" s="945"/>
      <c r="MB42" s="945"/>
      <c r="MC42" s="945"/>
      <c r="MD42" s="945"/>
      <c r="ME42" s="945"/>
      <c r="MF42" s="945"/>
      <c r="MG42" s="945"/>
      <c r="MH42" s="945"/>
      <c r="MI42" s="945"/>
      <c r="MJ42" s="945"/>
      <c r="MK42" s="945"/>
      <c r="ML42" s="945"/>
      <c r="MM42" s="945"/>
      <c r="MN42" s="945"/>
      <c r="MO42" s="945"/>
      <c r="MP42" s="945"/>
      <c r="MQ42" s="945"/>
      <c r="MR42" s="945"/>
      <c r="MS42" s="945"/>
      <c r="MT42" s="945"/>
      <c r="MU42" s="945"/>
      <c r="MV42" s="945"/>
      <c r="MW42" s="945"/>
      <c r="MX42" s="945"/>
      <c r="MY42" s="945"/>
      <c r="MZ42" s="945"/>
      <c r="NA42" s="945"/>
      <c r="NB42" s="945"/>
      <c r="NC42" s="945"/>
      <c r="ND42" s="945"/>
      <c r="NE42" s="945"/>
      <c r="NF42" s="945"/>
      <c r="NG42" s="945"/>
      <c r="NH42" s="945"/>
      <c r="NI42" s="945"/>
      <c r="NJ42" s="945"/>
      <c r="NK42" s="945"/>
      <c r="NL42" s="945"/>
      <c r="NM42" s="945"/>
      <c r="NN42" s="945"/>
      <c r="NO42" s="945"/>
      <c r="NP42" s="945"/>
      <c r="NQ42" s="945"/>
      <c r="NR42" s="945"/>
      <c r="NS42" s="945"/>
      <c r="NT42" s="945"/>
      <c r="NU42" s="945"/>
      <c r="NV42" s="945"/>
      <c r="NW42" s="945"/>
      <c r="NX42" s="945"/>
      <c r="NY42" s="945"/>
      <c r="NZ42" s="945"/>
      <c r="OA42" s="945"/>
      <c r="OB42" s="945"/>
      <c r="OC42" s="945"/>
      <c r="OD42" s="945"/>
      <c r="OE42" s="945"/>
      <c r="OF42" s="945"/>
      <c r="OG42" s="945"/>
      <c r="OH42" s="945"/>
      <c r="OI42" s="945"/>
      <c r="OJ42" s="945"/>
      <c r="OK42" s="945"/>
      <c r="OL42" s="945"/>
      <c r="OM42" s="945"/>
      <c r="ON42" s="945"/>
      <c r="OO42" s="945"/>
      <c r="OP42" s="945"/>
      <c r="OQ42" s="945"/>
      <c r="OR42" s="945"/>
      <c r="OS42" s="945"/>
      <c r="OT42" s="945"/>
      <c r="OU42" s="945"/>
      <c r="OV42" s="945"/>
      <c r="OW42" s="945"/>
      <c r="OX42" s="945"/>
      <c r="OY42" s="945"/>
      <c r="OZ42" s="945"/>
      <c r="PA42" s="945"/>
      <c r="PB42" s="945"/>
      <c r="PC42" s="945"/>
      <c r="PD42" s="945"/>
      <c r="PE42" s="945"/>
      <c r="PF42" s="945"/>
      <c r="PG42" s="945"/>
      <c r="PH42" s="945"/>
      <c r="PI42" s="945"/>
      <c r="PJ42" s="945"/>
      <c r="PK42" s="945"/>
      <c r="PL42" s="945"/>
      <c r="PM42" s="945"/>
      <c r="PN42" s="945"/>
      <c r="PO42" s="945"/>
    </row>
    <row r="43" spans="1:431" s="165" customFormat="1">
      <c r="A43" s="945"/>
      <c r="B43" s="945"/>
      <c r="C43" s="948"/>
      <c r="D43" s="948"/>
      <c r="E43" s="948"/>
      <c r="F43" s="948"/>
      <c r="G43" s="948"/>
      <c r="H43" s="948"/>
      <c r="I43" s="948"/>
      <c r="J43" s="948"/>
      <c r="K43" s="948"/>
      <c r="L43" s="948"/>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5"/>
      <c r="AY43" s="945"/>
      <c r="AZ43" s="945"/>
      <c r="BA43" s="945"/>
      <c r="BB43" s="945"/>
      <c r="BC43" s="945"/>
      <c r="BD43" s="945"/>
      <c r="BE43" s="945"/>
      <c r="BF43" s="945"/>
      <c r="BG43" s="945"/>
      <c r="BH43" s="945"/>
      <c r="BI43" s="945"/>
      <c r="BJ43" s="945"/>
      <c r="BK43" s="945"/>
      <c r="BL43" s="945"/>
      <c r="BM43" s="945"/>
      <c r="BN43" s="945"/>
      <c r="BO43" s="945"/>
      <c r="BP43" s="945"/>
      <c r="BQ43" s="945"/>
      <c r="BR43" s="945"/>
      <c r="BS43" s="945"/>
      <c r="BT43" s="945"/>
      <c r="BU43" s="945"/>
      <c r="BV43" s="945"/>
      <c r="BW43" s="945"/>
      <c r="BX43" s="945"/>
      <c r="BY43" s="945"/>
      <c r="BZ43" s="945"/>
      <c r="CA43" s="945"/>
      <c r="CB43" s="945"/>
      <c r="CC43" s="945"/>
      <c r="CD43" s="945"/>
      <c r="CE43" s="945"/>
      <c r="CF43" s="945"/>
      <c r="CG43" s="945"/>
      <c r="CH43" s="945"/>
      <c r="CI43" s="945"/>
      <c r="CJ43" s="945"/>
      <c r="CK43" s="945"/>
      <c r="CL43" s="945"/>
      <c r="CM43" s="945"/>
      <c r="CN43" s="945"/>
      <c r="CO43" s="945"/>
      <c r="CP43" s="945"/>
      <c r="CQ43" s="945"/>
      <c r="CR43" s="945"/>
      <c r="CS43" s="945"/>
      <c r="CT43" s="945"/>
      <c r="CU43" s="945"/>
      <c r="CV43" s="945"/>
      <c r="CW43" s="945"/>
      <c r="CX43" s="945"/>
      <c r="CY43" s="945"/>
      <c r="CZ43" s="945"/>
      <c r="DA43" s="945"/>
      <c r="DB43" s="945"/>
      <c r="DC43" s="945"/>
      <c r="DD43" s="945"/>
      <c r="DE43" s="945"/>
      <c r="DF43" s="945"/>
      <c r="DG43" s="945"/>
      <c r="DH43" s="945"/>
      <c r="DI43" s="945"/>
      <c r="DJ43" s="945"/>
      <c r="DK43" s="945"/>
      <c r="DL43" s="945"/>
      <c r="DM43" s="945"/>
      <c r="DN43" s="945"/>
      <c r="DO43" s="945"/>
      <c r="DP43" s="945"/>
      <c r="DQ43" s="945"/>
      <c r="DR43" s="945"/>
      <c r="DS43" s="945"/>
      <c r="DT43" s="945"/>
      <c r="DU43" s="945"/>
      <c r="DV43" s="945"/>
      <c r="DW43" s="945"/>
      <c r="DX43" s="945"/>
      <c r="DY43" s="945"/>
      <c r="DZ43" s="945"/>
      <c r="EA43" s="945"/>
      <c r="EB43" s="945"/>
      <c r="EC43" s="945"/>
      <c r="ED43" s="945"/>
      <c r="EE43" s="945"/>
      <c r="EF43" s="945"/>
      <c r="EG43" s="945"/>
      <c r="EH43" s="945"/>
      <c r="EI43" s="945"/>
      <c r="EJ43" s="945"/>
      <c r="EK43" s="945"/>
      <c r="EL43" s="945"/>
      <c r="EM43" s="945"/>
      <c r="EN43" s="945"/>
      <c r="EO43" s="945"/>
      <c r="EP43" s="945"/>
      <c r="EQ43" s="945"/>
      <c r="ER43" s="945"/>
      <c r="ES43" s="945"/>
      <c r="ET43" s="945"/>
      <c r="EU43" s="945"/>
      <c r="EV43" s="945"/>
      <c r="EW43" s="945"/>
      <c r="EX43" s="945"/>
      <c r="EY43" s="945"/>
      <c r="EZ43" s="945"/>
      <c r="FA43" s="945"/>
      <c r="FB43" s="945"/>
      <c r="FC43" s="945"/>
      <c r="FD43" s="945"/>
      <c r="FE43" s="945"/>
      <c r="FF43" s="945"/>
      <c r="FG43" s="945"/>
      <c r="FH43" s="945"/>
      <c r="FI43" s="945"/>
      <c r="FJ43" s="945"/>
      <c r="FK43" s="945"/>
      <c r="FL43" s="945"/>
      <c r="FM43" s="945"/>
      <c r="FN43" s="945"/>
      <c r="FO43" s="945"/>
      <c r="FP43" s="945"/>
      <c r="FQ43" s="945"/>
      <c r="FR43" s="945"/>
      <c r="FS43" s="945"/>
      <c r="FT43" s="945"/>
      <c r="FU43" s="945"/>
      <c r="FV43" s="945"/>
      <c r="FW43" s="945"/>
      <c r="FX43" s="945"/>
      <c r="FY43" s="945"/>
      <c r="FZ43" s="945"/>
      <c r="GA43" s="945"/>
      <c r="GB43" s="945"/>
      <c r="GC43" s="945"/>
      <c r="GD43" s="945"/>
      <c r="GE43" s="945"/>
      <c r="GF43" s="945"/>
      <c r="GG43" s="945"/>
      <c r="GH43" s="945"/>
      <c r="GI43" s="945"/>
      <c r="GJ43" s="945"/>
      <c r="GK43" s="945"/>
      <c r="GL43" s="945"/>
      <c r="GM43" s="945"/>
      <c r="GN43" s="945"/>
      <c r="GO43" s="945"/>
      <c r="GP43" s="945"/>
      <c r="GQ43" s="945"/>
      <c r="GR43" s="945"/>
      <c r="GS43" s="945"/>
      <c r="GT43" s="945"/>
      <c r="GU43" s="945"/>
      <c r="GV43" s="945"/>
      <c r="GW43" s="945"/>
      <c r="GX43" s="945"/>
      <c r="GY43" s="945"/>
      <c r="GZ43" s="945"/>
      <c r="HA43" s="945"/>
      <c r="HB43" s="945"/>
      <c r="HC43" s="945"/>
      <c r="HD43" s="945"/>
      <c r="HE43" s="945"/>
      <c r="HF43" s="945"/>
      <c r="HG43" s="945"/>
      <c r="HH43" s="945"/>
      <c r="HI43" s="945"/>
      <c r="HJ43" s="945"/>
      <c r="HK43" s="945"/>
      <c r="HL43" s="945"/>
      <c r="HM43" s="945"/>
      <c r="HN43" s="945"/>
      <c r="HO43" s="945"/>
      <c r="HP43" s="945"/>
      <c r="HQ43" s="945"/>
      <c r="HR43" s="945"/>
      <c r="HS43" s="945"/>
      <c r="HT43" s="945"/>
      <c r="HU43" s="945"/>
      <c r="HV43" s="945"/>
      <c r="HW43" s="945"/>
      <c r="HX43" s="945"/>
      <c r="HY43" s="945"/>
      <c r="HZ43" s="945"/>
      <c r="IA43" s="945"/>
      <c r="IB43" s="945"/>
      <c r="IC43" s="945"/>
      <c r="ID43" s="945"/>
      <c r="IE43" s="945"/>
      <c r="IF43" s="945"/>
      <c r="IG43" s="945"/>
      <c r="IH43" s="945"/>
      <c r="II43" s="945"/>
      <c r="IJ43" s="945"/>
      <c r="IK43" s="945"/>
      <c r="IL43" s="945"/>
      <c r="IM43" s="945"/>
      <c r="IN43" s="945"/>
      <c r="IO43" s="945"/>
      <c r="IP43" s="945"/>
      <c r="IQ43" s="945"/>
      <c r="IR43" s="945"/>
      <c r="IS43" s="945"/>
      <c r="IT43" s="945"/>
      <c r="IU43" s="945"/>
      <c r="IV43" s="945"/>
      <c r="IW43" s="945"/>
      <c r="IX43" s="945"/>
      <c r="IY43" s="945"/>
      <c r="IZ43" s="945"/>
      <c r="JA43" s="945"/>
      <c r="JB43" s="945"/>
      <c r="JC43" s="945"/>
      <c r="JD43" s="945"/>
      <c r="JE43" s="945"/>
      <c r="JF43" s="945"/>
      <c r="JG43" s="945"/>
      <c r="JH43" s="945"/>
      <c r="JI43" s="945"/>
      <c r="JJ43" s="945"/>
      <c r="JK43" s="945"/>
      <c r="JL43" s="945"/>
      <c r="JM43" s="945"/>
      <c r="JN43" s="945"/>
      <c r="JO43" s="945"/>
      <c r="JP43" s="945"/>
      <c r="JQ43" s="945"/>
      <c r="JR43" s="945"/>
      <c r="JS43" s="945"/>
      <c r="JT43" s="945"/>
      <c r="JU43" s="945"/>
      <c r="JV43" s="945"/>
      <c r="JW43" s="945"/>
      <c r="JX43" s="945"/>
      <c r="JY43" s="945"/>
      <c r="JZ43" s="945"/>
      <c r="KA43" s="945"/>
      <c r="KB43" s="945"/>
      <c r="KC43" s="945"/>
      <c r="KD43" s="945"/>
      <c r="KE43" s="945"/>
      <c r="KF43" s="945"/>
      <c r="KG43" s="945"/>
      <c r="KH43" s="945"/>
      <c r="KI43" s="945"/>
      <c r="KJ43" s="945"/>
      <c r="KK43" s="945"/>
      <c r="KL43" s="945"/>
      <c r="KM43" s="945"/>
      <c r="KN43" s="945"/>
      <c r="KO43" s="945"/>
      <c r="KP43" s="945"/>
      <c r="KQ43" s="945"/>
      <c r="KR43" s="945"/>
      <c r="KS43" s="945"/>
      <c r="KT43" s="945"/>
      <c r="KU43" s="945"/>
      <c r="KV43" s="945"/>
      <c r="KW43" s="945"/>
      <c r="KX43" s="945"/>
      <c r="KY43" s="945"/>
      <c r="KZ43" s="945"/>
      <c r="LA43" s="945"/>
      <c r="LB43" s="945"/>
      <c r="LC43" s="945"/>
      <c r="LD43" s="945"/>
      <c r="LE43" s="945"/>
      <c r="LF43" s="945"/>
      <c r="LG43" s="945"/>
      <c r="LH43" s="945"/>
      <c r="LI43" s="945"/>
      <c r="LJ43" s="945"/>
      <c r="LK43" s="945"/>
      <c r="LL43" s="945"/>
      <c r="LM43" s="945"/>
      <c r="LN43" s="945"/>
      <c r="LO43" s="945"/>
      <c r="LP43" s="945"/>
      <c r="LQ43" s="945"/>
      <c r="LR43" s="945"/>
      <c r="LS43" s="945"/>
      <c r="LT43" s="945"/>
      <c r="LU43" s="945"/>
      <c r="LV43" s="945"/>
      <c r="LW43" s="945"/>
      <c r="LX43" s="945"/>
      <c r="LY43" s="945"/>
      <c r="LZ43" s="945"/>
      <c r="MA43" s="945"/>
      <c r="MB43" s="945"/>
      <c r="MC43" s="945"/>
      <c r="MD43" s="945"/>
      <c r="ME43" s="945"/>
      <c r="MF43" s="945"/>
      <c r="MG43" s="945"/>
      <c r="MH43" s="945"/>
      <c r="MI43" s="945"/>
      <c r="MJ43" s="945"/>
      <c r="MK43" s="945"/>
      <c r="ML43" s="945"/>
      <c r="MM43" s="945"/>
      <c r="MN43" s="945"/>
      <c r="MO43" s="945"/>
      <c r="MP43" s="945"/>
      <c r="MQ43" s="945"/>
      <c r="MR43" s="945"/>
      <c r="MS43" s="945"/>
      <c r="MT43" s="945"/>
      <c r="MU43" s="945"/>
      <c r="MV43" s="945"/>
      <c r="MW43" s="945"/>
      <c r="MX43" s="945"/>
      <c r="MY43" s="945"/>
      <c r="MZ43" s="945"/>
      <c r="NA43" s="945"/>
      <c r="NB43" s="945"/>
      <c r="NC43" s="945"/>
      <c r="ND43" s="945"/>
      <c r="NE43" s="945"/>
      <c r="NF43" s="945"/>
      <c r="NG43" s="945"/>
      <c r="NH43" s="945"/>
      <c r="NI43" s="945"/>
      <c r="NJ43" s="945"/>
      <c r="NK43" s="945"/>
      <c r="NL43" s="945"/>
      <c r="NM43" s="945"/>
      <c r="NN43" s="945"/>
      <c r="NO43" s="945"/>
      <c r="NP43" s="945"/>
      <c r="NQ43" s="945"/>
      <c r="NR43" s="945"/>
      <c r="NS43" s="945"/>
      <c r="NT43" s="945"/>
      <c r="NU43" s="945"/>
      <c r="NV43" s="945"/>
      <c r="NW43" s="945"/>
      <c r="NX43" s="945"/>
      <c r="NY43" s="945"/>
      <c r="NZ43" s="945"/>
      <c r="OA43" s="945"/>
      <c r="OB43" s="945"/>
      <c r="OC43" s="945"/>
      <c r="OD43" s="945"/>
      <c r="OE43" s="945"/>
      <c r="OF43" s="945"/>
      <c r="OG43" s="945"/>
      <c r="OH43" s="945"/>
      <c r="OI43" s="945"/>
      <c r="OJ43" s="945"/>
      <c r="OK43" s="945"/>
      <c r="OL43" s="945"/>
      <c r="OM43" s="945"/>
      <c r="ON43" s="945"/>
      <c r="OO43" s="945"/>
      <c r="OP43" s="945"/>
      <c r="OQ43" s="945"/>
      <c r="OR43" s="945"/>
      <c r="OS43" s="945"/>
      <c r="OT43" s="945"/>
      <c r="OU43" s="945"/>
      <c r="OV43" s="945"/>
      <c r="OW43" s="945"/>
      <c r="OX43" s="945"/>
      <c r="OY43" s="945"/>
      <c r="OZ43" s="945"/>
      <c r="PA43" s="945"/>
      <c r="PB43" s="945"/>
      <c r="PC43" s="945"/>
      <c r="PD43" s="945"/>
      <c r="PE43" s="945"/>
      <c r="PF43" s="945"/>
      <c r="PG43" s="945"/>
      <c r="PH43" s="945"/>
      <c r="PI43" s="945"/>
      <c r="PJ43" s="945"/>
      <c r="PK43" s="945"/>
      <c r="PL43" s="945"/>
      <c r="PM43" s="945"/>
      <c r="PN43" s="945"/>
      <c r="PO43" s="945"/>
    </row>
    <row r="44" spans="1:431" s="165" customFormat="1">
      <c r="A44" s="945"/>
      <c r="B44" s="945"/>
      <c r="C44" s="948"/>
      <c r="D44" s="948"/>
      <c r="E44" s="948"/>
      <c r="F44" s="948"/>
      <c r="G44" s="948"/>
      <c r="H44" s="948"/>
      <c r="I44" s="948"/>
      <c r="J44" s="948"/>
      <c r="K44" s="948"/>
      <c r="L44" s="948"/>
      <c r="M44" s="945"/>
      <c r="N44" s="945"/>
      <c r="O44" s="945"/>
      <c r="P44" s="945"/>
      <c r="Q44" s="945"/>
      <c r="R44" s="945"/>
      <c r="S44" s="945"/>
      <c r="T44" s="945"/>
      <c r="U44" s="945"/>
      <c r="V44" s="945"/>
      <c r="W44" s="945"/>
      <c r="X44" s="945"/>
      <c r="Y44" s="945"/>
      <c r="Z44" s="945"/>
      <c r="AA44" s="945"/>
      <c r="AB44" s="945"/>
      <c r="AC44" s="945"/>
      <c r="AD44" s="945"/>
      <c r="AE44" s="945"/>
      <c r="AF44" s="945"/>
      <c r="AG44" s="945"/>
      <c r="AH44" s="945"/>
      <c r="AI44" s="945"/>
      <c r="AJ44" s="945"/>
      <c r="AK44" s="945"/>
      <c r="AL44" s="945"/>
      <c r="AM44" s="945"/>
      <c r="AN44" s="945"/>
      <c r="AO44" s="945"/>
      <c r="AP44" s="945"/>
      <c r="AQ44" s="945"/>
      <c r="AR44" s="945"/>
      <c r="AS44" s="945"/>
      <c r="AT44" s="945"/>
      <c r="AU44" s="945"/>
      <c r="AV44" s="945"/>
      <c r="AW44" s="945"/>
      <c r="AX44" s="945"/>
      <c r="AY44" s="945"/>
      <c r="AZ44" s="945"/>
      <c r="BA44" s="945"/>
      <c r="BB44" s="945"/>
      <c r="BC44" s="945"/>
      <c r="BD44" s="945"/>
      <c r="BE44" s="945"/>
      <c r="BF44" s="945"/>
      <c r="BG44" s="945"/>
      <c r="BH44" s="945"/>
      <c r="BI44" s="945"/>
      <c r="BJ44" s="945"/>
      <c r="BK44" s="945"/>
      <c r="BL44" s="945"/>
      <c r="BM44" s="945"/>
      <c r="BN44" s="945"/>
      <c r="BO44" s="945"/>
      <c r="BP44" s="945"/>
      <c r="BQ44" s="945"/>
      <c r="BR44" s="945"/>
      <c r="BS44" s="945"/>
      <c r="BT44" s="945"/>
      <c r="BU44" s="945"/>
      <c r="BV44" s="945"/>
      <c r="BW44" s="945"/>
      <c r="BX44" s="945"/>
      <c r="BY44" s="945"/>
      <c r="BZ44" s="945"/>
      <c r="CA44" s="945"/>
      <c r="CB44" s="945"/>
      <c r="CC44" s="945"/>
      <c r="CD44" s="945"/>
      <c r="CE44" s="945"/>
      <c r="CF44" s="945"/>
      <c r="CG44" s="945"/>
      <c r="CH44" s="945"/>
      <c r="CI44" s="945"/>
      <c r="CJ44" s="945"/>
      <c r="CK44" s="945"/>
      <c r="CL44" s="945"/>
      <c r="CM44" s="945"/>
      <c r="CN44" s="945"/>
      <c r="CO44" s="945"/>
      <c r="CP44" s="945"/>
      <c r="CQ44" s="945"/>
      <c r="CR44" s="945"/>
      <c r="CS44" s="945"/>
      <c r="CT44" s="945"/>
      <c r="CU44" s="945"/>
      <c r="CV44" s="945"/>
      <c r="CW44" s="945"/>
      <c r="CX44" s="945"/>
      <c r="CY44" s="945"/>
      <c r="CZ44" s="945"/>
      <c r="DA44" s="945"/>
      <c r="DB44" s="945"/>
      <c r="DC44" s="945"/>
      <c r="DD44" s="945"/>
      <c r="DE44" s="945"/>
      <c r="DF44" s="945"/>
      <c r="DG44" s="945"/>
      <c r="DH44" s="945"/>
      <c r="DI44" s="945"/>
      <c r="DJ44" s="945"/>
      <c r="DK44" s="945"/>
      <c r="DL44" s="945"/>
      <c r="DM44" s="945"/>
      <c r="DN44" s="945"/>
      <c r="DO44" s="945"/>
      <c r="DP44" s="945"/>
      <c r="DQ44" s="945"/>
      <c r="DR44" s="945"/>
      <c r="DS44" s="945"/>
      <c r="DT44" s="945"/>
      <c r="DU44" s="945"/>
      <c r="DV44" s="945"/>
      <c r="DW44" s="945"/>
      <c r="DX44" s="945"/>
      <c r="DY44" s="945"/>
      <c r="DZ44" s="945"/>
      <c r="EA44" s="945"/>
      <c r="EB44" s="945"/>
      <c r="EC44" s="945"/>
      <c r="ED44" s="945"/>
      <c r="EE44" s="945"/>
      <c r="EF44" s="945"/>
      <c r="EG44" s="945"/>
      <c r="EH44" s="945"/>
      <c r="EI44" s="945"/>
      <c r="EJ44" s="945"/>
      <c r="EK44" s="945"/>
      <c r="EL44" s="945"/>
      <c r="EM44" s="945"/>
      <c r="EN44" s="945"/>
      <c r="EO44" s="945"/>
      <c r="EP44" s="945"/>
      <c r="EQ44" s="945"/>
      <c r="ER44" s="945"/>
      <c r="ES44" s="945"/>
      <c r="ET44" s="945"/>
      <c r="EU44" s="945"/>
      <c r="EV44" s="945"/>
      <c r="EW44" s="945"/>
      <c r="EX44" s="945"/>
      <c r="EY44" s="945"/>
      <c r="EZ44" s="945"/>
      <c r="FA44" s="945"/>
      <c r="FB44" s="945"/>
      <c r="FC44" s="945"/>
      <c r="FD44" s="945"/>
      <c r="FE44" s="945"/>
      <c r="FF44" s="945"/>
      <c r="FG44" s="945"/>
      <c r="FH44" s="945"/>
      <c r="FI44" s="945"/>
      <c r="FJ44" s="945"/>
      <c r="FK44" s="945"/>
      <c r="FL44" s="945"/>
      <c r="FM44" s="945"/>
      <c r="FN44" s="945"/>
      <c r="FO44" s="945"/>
      <c r="FP44" s="945"/>
      <c r="FQ44" s="945"/>
      <c r="FR44" s="945"/>
      <c r="FS44" s="945"/>
      <c r="FT44" s="945"/>
      <c r="FU44" s="945"/>
      <c r="FV44" s="945"/>
      <c r="FW44" s="945"/>
      <c r="FX44" s="945"/>
      <c r="FY44" s="945"/>
      <c r="FZ44" s="945"/>
      <c r="GA44" s="945"/>
      <c r="GB44" s="945"/>
      <c r="GC44" s="945"/>
      <c r="GD44" s="945"/>
      <c r="GE44" s="945"/>
      <c r="GF44" s="945"/>
      <c r="GG44" s="945"/>
      <c r="GH44" s="945"/>
      <c r="GI44" s="945"/>
      <c r="GJ44" s="945"/>
      <c r="GK44" s="945"/>
      <c r="GL44" s="945"/>
      <c r="GM44" s="945"/>
      <c r="GN44" s="945"/>
      <c r="GO44" s="945"/>
      <c r="GP44" s="945"/>
      <c r="GQ44" s="945"/>
      <c r="GR44" s="945"/>
      <c r="GS44" s="945"/>
      <c r="GT44" s="945"/>
      <c r="GU44" s="945"/>
      <c r="GV44" s="945"/>
      <c r="GW44" s="945"/>
      <c r="GX44" s="945"/>
      <c r="GY44" s="945"/>
      <c r="GZ44" s="945"/>
      <c r="HA44" s="945"/>
      <c r="HB44" s="945"/>
      <c r="HC44" s="945"/>
      <c r="HD44" s="945"/>
      <c r="HE44" s="945"/>
      <c r="HF44" s="945"/>
      <c r="HG44" s="945"/>
      <c r="HH44" s="945"/>
      <c r="HI44" s="945"/>
      <c r="HJ44" s="945"/>
      <c r="HK44" s="945"/>
      <c r="HL44" s="945"/>
      <c r="HM44" s="945"/>
      <c r="HN44" s="945"/>
      <c r="HO44" s="945"/>
      <c r="HP44" s="945"/>
      <c r="HQ44" s="945"/>
      <c r="HR44" s="945"/>
      <c r="HS44" s="945"/>
      <c r="HT44" s="945"/>
      <c r="HU44" s="945"/>
      <c r="HV44" s="945"/>
      <c r="HW44" s="945"/>
      <c r="HX44" s="945"/>
      <c r="HY44" s="945"/>
      <c r="HZ44" s="945"/>
      <c r="IA44" s="945"/>
      <c r="IB44" s="945"/>
      <c r="IC44" s="945"/>
      <c r="ID44" s="945"/>
      <c r="IE44" s="945"/>
      <c r="IF44" s="945"/>
      <c r="IG44" s="945"/>
      <c r="IH44" s="945"/>
      <c r="II44" s="945"/>
      <c r="IJ44" s="945"/>
      <c r="IK44" s="945"/>
      <c r="IL44" s="945"/>
      <c r="IM44" s="945"/>
      <c r="IN44" s="945"/>
      <c r="IO44" s="945"/>
      <c r="IP44" s="945"/>
      <c r="IQ44" s="945"/>
      <c r="IR44" s="945"/>
      <c r="IS44" s="945"/>
      <c r="IT44" s="945"/>
      <c r="IU44" s="945"/>
      <c r="IV44" s="945"/>
      <c r="IW44" s="945"/>
      <c r="IX44" s="945"/>
      <c r="IY44" s="945"/>
      <c r="IZ44" s="945"/>
      <c r="JA44" s="945"/>
      <c r="JB44" s="945"/>
      <c r="JC44" s="945"/>
      <c r="JD44" s="945"/>
      <c r="JE44" s="945"/>
      <c r="JF44" s="945"/>
      <c r="JG44" s="945"/>
      <c r="JH44" s="945"/>
      <c r="JI44" s="945"/>
      <c r="JJ44" s="945"/>
      <c r="JK44" s="945"/>
      <c r="JL44" s="945"/>
      <c r="JM44" s="945"/>
      <c r="JN44" s="945"/>
      <c r="JO44" s="945"/>
      <c r="JP44" s="945"/>
      <c r="JQ44" s="945"/>
      <c r="JR44" s="945"/>
      <c r="JS44" s="945"/>
      <c r="JT44" s="945"/>
      <c r="JU44" s="945"/>
      <c r="JV44" s="945"/>
      <c r="JW44" s="945"/>
      <c r="JX44" s="945"/>
      <c r="JY44" s="945"/>
      <c r="JZ44" s="945"/>
      <c r="KA44" s="945"/>
      <c r="KB44" s="945"/>
      <c r="KC44" s="945"/>
      <c r="KD44" s="945"/>
      <c r="KE44" s="945"/>
      <c r="KF44" s="945"/>
      <c r="KG44" s="945"/>
      <c r="KH44" s="945"/>
      <c r="KI44" s="945"/>
      <c r="KJ44" s="945"/>
      <c r="KK44" s="945"/>
      <c r="KL44" s="945"/>
      <c r="KM44" s="945"/>
      <c r="KN44" s="945"/>
      <c r="KO44" s="945"/>
      <c r="KP44" s="945"/>
      <c r="KQ44" s="945"/>
      <c r="KR44" s="945"/>
      <c r="KS44" s="945"/>
      <c r="KT44" s="945"/>
      <c r="KU44" s="945"/>
      <c r="KV44" s="945"/>
      <c r="KW44" s="945"/>
      <c r="KX44" s="945"/>
      <c r="KY44" s="945"/>
      <c r="KZ44" s="945"/>
      <c r="LA44" s="945"/>
      <c r="LB44" s="945"/>
      <c r="LC44" s="945"/>
      <c r="LD44" s="945"/>
      <c r="LE44" s="945"/>
      <c r="LF44" s="945"/>
      <c r="LG44" s="945"/>
      <c r="LH44" s="945"/>
      <c r="LI44" s="945"/>
      <c r="LJ44" s="945"/>
      <c r="LK44" s="945"/>
      <c r="LL44" s="945"/>
      <c r="LM44" s="945"/>
      <c r="LN44" s="945"/>
      <c r="LO44" s="945"/>
      <c r="LP44" s="945"/>
      <c r="LQ44" s="945"/>
      <c r="LR44" s="945"/>
      <c r="LS44" s="945"/>
      <c r="LT44" s="945"/>
      <c r="LU44" s="945"/>
      <c r="LV44" s="945"/>
      <c r="LW44" s="945"/>
      <c r="LX44" s="945"/>
      <c r="LY44" s="945"/>
      <c r="LZ44" s="945"/>
      <c r="MA44" s="945"/>
      <c r="MB44" s="945"/>
      <c r="MC44" s="945"/>
      <c r="MD44" s="945"/>
      <c r="ME44" s="945"/>
      <c r="MF44" s="945"/>
      <c r="MG44" s="945"/>
      <c r="MH44" s="945"/>
      <c r="MI44" s="945"/>
      <c r="MJ44" s="945"/>
      <c r="MK44" s="945"/>
      <c r="ML44" s="945"/>
      <c r="MM44" s="945"/>
      <c r="MN44" s="945"/>
      <c r="MO44" s="945"/>
      <c r="MP44" s="945"/>
      <c r="MQ44" s="945"/>
      <c r="MR44" s="945"/>
      <c r="MS44" s="945"/>
      <c r="MT44" s="945"/>
      <c r="MU44" s="945"/>
      <c r="MV44" s="945"/>
      <c r="MW44" s="945"/>
      <c r="MX44" s="945"/>
      <c r="MY44" s="945"/>
      <c r="MZ44" s="945"/>
      <c r="NA44" s="945"/>
      <c r="NB44" s="945"/>
      <c r="NC44" s="945"/>
      <c r="ND44" s="945"/>
      <c r="NE44" s="945"/>
      <c r="NF44" s="945"/>
      <c r="NG44" s="945"/>
      <c r="NH44" s="945"/>
      <c r="NI44" s="945"/>
      <c r="NJ44" s="945"/>
      <c r="NK44" s="945"/>
      <c r="NL44" s="945"/>
      <c r="NM44" s="945"/>
      <c r="NN44" s="945"/>
      <c r="NO44" s="945"/>
      <c r="NP44" s="945"/>
      <c r="NQ44" s="945"/>
      <c r="NR44" s="945"/>
      <c r="NS44" s="945"/>
      <c r="NT44" s="945"/>
      <c r="NU44" s="945"/>
      <c r="NV44" s="945"/>
      <c r="NW44" s="945"/>
      <c r="NX44" s="945"/>
      <c r="NY44" s="945"/>
      <c r="NZ44" s="945"/>
      <c r="OA44" s="945"/>
      <c r="OB44" s="945"/>
      <c r="OC44" s="945"/>
      <c r="OD44" s="945"/>
      <c r="OE44" s="945"/>
      <c r="OF44" s="945"/>
      <c r="OG44" s="945"/>
      <c r="OH44" s="945"/>
      <c r="OI44" s="945"/>
      <c r="OJ44" s="945"/>
      <c r="OK44" s="945"/>
      <c r="OL44" s="945"/>
      <c r="OM44" s="945"/>
      <c r="ON44" s="945"/>
      <c r="OO44" s="945"/>
      <c r="OP44" s="945"/>
      <c r="OQ44" s="945"/>
      <c r="OR44" s="945"/>
      <c r="OS44" s="945"/>
      <c r="OT44" s="945"/>
      <c r="OU44" s="945"/>
      <c r="OV44" s="945"/>
      <c r="OW44" s="945"/>
      <c r="OX44" s="945"/>
      <c r="OY44" s="945"/>
      <c r="OZ44" s="945"/>
      <c r="PA44" s="945"/>
      <c r="PB44" s="945"/>
      <c r="PC44" s="945"/>
      <c r="PD44" s="945"/>
      <c r="PE44" s="945"/>
      <c r="PF44" s="945"/>
      <c r="PG44" s="945"/>
      <c r="PH44" s="945"/>
      <c r="PI44" s="945"/>
      <c r="PJ44" s="945"/>
      <c r="PK44" s="945"/>
      <c r="PL44" s="945"/>
      <c r="PM44" s="945"/>
      <c r="PN44" s="945"/>
      <c r="PO44" s="945"/>
    </row>
    <row r="45" spans="1:431" s="165" customFormat="1">
      <c r="A45" s="945"/>
      <c r="B45" s="945"/>
      <c r="C45" s="948"/>
      <c r="D45" s="948"/>
      <c r="E45" s="948"/>
      <c r="F45" s="948"/>
      <c r="G45" s="948"/>
      <c r="H45" s="948"/>
      <c r="I45" s="948"/>
      <c r="J45" s="948"/>
      <c r="K45" s="948"/>
      <c r="L45" s="948"/>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945"/>
      <c r="AL45" s="945"/>
      <c r="AM45" s="945"/>
      <c r="AN45" s="945"/>
      <c r="AO45" s="945"/>
      <c r="AP45" s="945"/>
      <c r="AQ45" s="945"/>
      <c r="AR45" s="945"/>
      <c r="AS45" s="945"/>
      <c r="AT45" s="945"/>
      <c r="AU45" s="945"/>
      <c r="AV45" s="945"/>
      <c r="AW45" s="945"/>
      <c r="AX45" s="945"/>
      <c r="AY45" s="945"/>
      <c r="AZ45" s="945"/>
      <c r="BA45" s="945"/>
      <c r="BB45" s="945"/>
      <c r="BC45" s="945"/>
      <c r="BD45" s="945"/>
      <c r="BE45" s="945"/>
      <c r="BF45" s="945"/>
      <c r="BG45" s="945"/>
      <c r="BH45" s="945"/>
      <c r="BI45" s="945"/>
      <c r="BJ45" s="945"/>
      <c r="BK45" s="945"/>
      <c r="BL45" s="945"/>
      <c r="BM45" s="945"/>
      <c r="BN45" s="945"/>
      <c r="BO45" s="945"/>
      <c r="BP45" s="945"/>
      <c r="BQ45" s="945"/>
      <c r="BR45" s="945"/>
      <c r="BS45" s="945"/>
      <c r="BT45" s="945"/>
      <c r="BU45" s="945"/>
      <c r="BV45" s="945"/>
      <c r="BW45" s="945"/>
      <c r="BX45" s="945"/>
      <c r="BY45" s="945"/>
      <c r="BZ45" s="945"/>
      <c r="CA45" s="945"/>
      <c r="CB45" s="945"/>
      <c r="CC45" s="945"/>
      <c r="CD45" s="945"/>
      <c r="CE45" s="945"/>
      <c r="CF45" s="945"/>
      <c r="CG45" s="945"/>
      <c r="CH45" s="945"/>
      <c r="CI45" s="945"/>
      <c r="CJ45" s="945"/>
      <c r="CK45" s="945"/>
      <c r="CL45" s="945"/>
      <c r="CM45" s="945"/>
      <c r="CN45" s="945"/>
      <c r="CO45" s="945"/>
      <c r="CP45" s="945"/>
      <c r="CQ45" s="945"/>
      <c r="CR45" s="945"/>
      <c r="CS45" s="945"/>
      <c r="CT45" s="945"/>
      <c r="CU45" s="945"/>
      <c r="CV45" s="945"/>
      <c r="CW45" s="945"/>
      <c r="CX45" s="945"/>
      <c r="CY45" s="945"/>
      <c r="CZ45" s="945"/>
      <c r="DA45" s="945"/>
      <c r="DB45" s="945"/>
      <c r="DC45" s="945"/>
      <c r="DD45" s="945"/>
      <c r="DE45" s="945"/>
      <c r="DF45" s="945"/>
      <c r="DG45" s="945"/>
      <c r="DH45" s="945"/>
      <c r="DI45" s="945"/>
      <c r="DJ45" s="945"/>
      <c r="DK45" s="945"/>
      <c r="DL45" s="945"/>
      <c r="DM45" s="945"/>
      <c r="DN45" s="945"/>
      <c r="DO45" s="945"/>
      <c r="DP45" s="945"/>
      <c r="DQ45" s="945"/>
      <c r="DR45" s="945"/>
      <c r="DS45" s="945"/>
      <c r="DT45" s="945"/>
      <c r="DU45" s="945"/>
      <c r="DV45" s="945"/>
      <c r="DW45" s="945"/>
      <c r="DX45" s="945"/>
      <c r="DY45" s="945"/>
      <c r="DZ45" s="945"/>
      <c r="EA45" s="945"/>
      <c r="EB45" s="945"/>
      <c r="EC45" s="945"/>
      <c r="ED45" s="945"/>
      <c r="EE45" s="945"/>
      <c r="EF45" s="945"/>
      <c r="EG45" s="945"/>
      <c r="EH45" s="945"/>
      <c r="EI45" s="945"/>
      <c r="EJ45" s="945"/>
      <c r="EK45" s="945"/>
      <c r="EL45" s="945"/>
      <c r="EM45" s="945"/>
      <c r="EN45" s="945"/>
      <c r="EO45" s="945"/>
      <c r="EP45" s="945"/>
      <c r="EQ45" s="945"/>
      <c r="ER45" s="945"/>
      <c r="ES45" s="945"/>
      <c r="ET45" s="945"/>
      <c r="EU45" s="945"/>
      <c r="EV45" s="945"/>
      <c r="EW45" s="945"/>
      <c r="EX45" s="945"/>
      <c r="EY45" s="945"/>
      <c r="EZ45" s="945"/>
      <c r="FA45" s="945"/>
      <c r="FB45" s="945"/>
      <c r="FC45" s="945"/>
      <c r="FD45" s="945"/>
      <c r="FE45" s="945"/>
      <c r="FF45" s="945"/>
      <c r="FG45" s="945"/>
      <c r="FH45" s="945"/>
      <c r="FI45" s="945"/>
      <c r="FJ45" s="945"/>
      <c r="FK45" s="945"/>
      <c r="FL45" s="945"/>
      <c r="FM45" s="945"/>
      <c r="FN45" s="945"/>
      <c r="FO45" s="945"/>
      <c r="FP45" s="945"/>
      <c r="FQ45" s="945"/>
      <c r="FR45" s="945"/>
      <c r="FS45" s="945"/>
      <c r="FT45" s="945"/>
      <c r="FU45" s="945"/>
      <c r="FV45" s="945"/>
      <c r="FW45" s="945"/>
      <c r="FX45" s="945"/>
      <c r="FY45" s="945"/>
      <c r="FZ45" s="945"/>
      <c r="GA45" s="945"/>
      <c r="GB45" s="945"/>
      <c r="GC45" s="945"/>
      <c r="GD45" s="945"/>
      <c r="GE45" s="945"/>
      <c r="GF45" s="945"/>
      <c r="GG45" s="945"/>
      <c r="GH45" s="945"/>
      <c r="GI45" s="945"/>
      <c r="GJ45" s="945"/>
      <c r="GK45" s="945"/>
      <c r="GL45" s="945"/>
      <c r="GM45" s="945"/>
      <c r="GN45" s="945"/>
      <c r="GO45" s="945"/>
      <c r="GP45" s="945"/>
      <c r="GQ45" s="945"/>
      <c r="GR45" s="945"/>
      <c r="GS45" s="945"/>
      <c r="GT45" s="945"/>
      <c r="GU45" s="945"/>
      <c r="GV45" s="945"/>
      <c r="GW45" s="945"/>
      <c r="GX45" s="945"/>
      <c r="GY45" s="945"/>
      <c r="GZ45" s="945"/>
      <c r="HA45" s="945"/>
      <c r="HB45" s="945"/>
      <c r="HC45" s="945"/>
      <c r="HD45" s="945"/>
      <c r="HE45" s="945"/>
      <c r="HF45" s="945"/>
      <c r="HG45" s="945"/>
      <c r="HH45" s="945"/>
      <c r="HI45" s="945"/>
      <c r="HJ45" s="945"/>
      <c r="HK45" s="945"/>
      <c r="HL45" s="945"/>
      <c r="HM45" s="945"/>
      <c r="HN45" s="945"/>
      <c r="HO45" s="945"/>
      <c r="HP45" s="945"/>
      <c r="HQ45" s="945"/>
      <c r="HR45" s="945"/>
      <c r="HS45" s="945"/>
      <c r="HT45" s="945"/>
      <c r="HU45" s="945"/>
      <c r="HV45" s="945"/>
      <c r="HW45" s="945"/>
      <c r="HX45" s="945"/>
      <c r="HY45" s="945"/>
      <c r="HZ45" s="945"/>
      <c r="IA45" s="945"/>
      <c r="IB45" s="945"/>
      <c r="IC45" s="945"/>
      <c r="ID45" s="945"/>
      <c r="IE45" s="945"/>
      <c r="IF45" s="945"/>
      <c r="IG45" s="945"/>
      <c r="IH45" s="945"/>
      <c r="II45" s="945"/>
      <c r="IJ45" s="945"/>
      <c r="IK45" s="945"/>
      <c r="IL45" s="945"/>
      <c r="IM45" s="945"/>
      <c r="IN45" s="945"/>
      <c r="IO45" s="945"/>
      <c r="IP45" s="945"/>
      <c r="IQ45" s="945"/>
      <c r="IR45" s="945"/>
      <c r="IS45" s="945"/>
      <c r="IT45" s="945"/>
      <c r="IU45" s="945"/>
      <c r="IV45" s="945"/>
      <c r="IW45" s="945"/>
      <c r="IX45" s="945"/>
      <c r="IY45" s="945"/>
      <c r="IZ45" s="945"/>
      <c r="JA45" s="945"/>
      <c r="JB45" s="945"/>
      <c r="JC45" s="945"/>
      <c r="JD45" s="945"/>
      <c r="JE45" s="945"/>
      <c r="JF45" s="945"/>
      <c r="JG45" s="945"/>
      <c r="JH45" s="945"/>
      <c r="JI45" s="945"/>
      <c r="JJ45" s="945"/>
      <c r="JK45" s="945"/>
      <c r="JL45" s="945"/>
      <c r="JM45" s="945"/>
      <c r="JN45" s="945"/>
      <c r="JO45" s="945"/>
      <c r="JP45" s="945"/>
      <c r="JQ45" s="945"/>
      <c r="JR45" s="945"/>
      <c r="JS45" s="945"/>
      <c r="JT45" s="945"/>
      <c r="JU45" s="945"/>
      <c r="JV45" s="945"/>
      <c r="JW45" s="945"/>
      <c r="JX45" s="945"/>
      <c r="JY45" s="945"/>
      <c r="JZ45" s="945"/>
      <c r="KA45" s="945"/>
      <c r="KB45" s="945"/>
      <c r="KC45" s="945"/>
      <c r="KD45" s="945"/>
      <c r="KE45" s="945"/>
      <c r="KF45" s="945"/>
      <c r="KG45" s="945"/>
      <c r="KH45" s="945"/>
      <c r="KI45" s="945"/>
      <c r="KJ45" s="945"/>
      <c r="KK45" s="945"/>
      <c r="KL45" s="945"/>
      <c r="KM45" s="945"/>
      <c r="KN45" s="945"/>
      <c r="KO45" s="945"/>
      <c r="KP45" s="945"/>
      <c r="KQ45" s="945"/>
      <c r="KR45" s="945"/>
      <c r="KS45" s="945"/>
      <c r="KT45" s="945"/>
      <c r="KU45" s="945"/>
      <c r="KV45" s="945"/>
      <c r="KW45" s="945"/>
      <c r="KX45" s="945"/>
      <c r="KY45" s="945"/>
      <c r="KZ45" s="945"/>
      <c r="LA45" s="945"/>
      <c r="LB45" s="945"/>
      <c r="LC45" s="945"/>
      <c r="LD45" s="945"/>
      <c r="LE45" s="945"/>
      <c r="LF45" s="945"/>
      <c r="LG45" s="945"/>
      <c r="LH45" s="945"/>
      <c r="LI45" s="945"/>
      <c r="LJ45" s="945"/>
      <c r="LK45" s="945"/>
      <c r="LL45" s="945"/>
      <c r="LM45" s="945"/>
      <c r="LN45" s="945"/>
      <c r="LO45" s="945"/>
      <c r="LP45" s="945"/>
      <c r="LQ45" s="945"/>
      <c r="LR45" s="945"/>
      <c r="LS45" s="945"/>
      <c r="LT45" s="945"/>
      <c r="LU45" s="945"/>
      <c r="LV45" s="945"/>
      <c r="LW45" s="945"/>
      <c r="LX45" s="945"/>
      <c r="LY45" s="945"/>
      <c r="LZ45" s="945"/>
      <c r="MA45" s="945"/>
      <c r="MB45" s="945"/>
      <c r="MC45" s="945"/>
      <c r="MD45" s="945"/>
      <c r="ME45" s="945"/>
      <c r="MF45" s="945"/>
      <c r="MG45" s="945"/>
      <c r="MH45" s="945"/>
      <c r="MI45" s="945"/>
      <c r="MJ45" s="945"/>
      <c r="MK45" s="945"/>
      <c r="ML45" s="945"/>
      <c r="MM45" s="945"/>
      <c r="MN45" s="945"/>
      <c r="MO45" s="945"/>
      <c r="MP45" s="945"/>
      <c r="MQ45" s="945"/>
      <c r="MR45" s="945"/>
      <c r="MS45" s="945"/>
      <c r="MT45" s="945"/>
      <c r="MU45" s="945"/>
      <c r="MV45" s="945"/>
      <c r="MW45" s="945"/>
      <c r="MX45" s="945"/>
      <c r="MY45" s="945"/>
      <c r="MZ45" s="945"/>
      <c r="NA45" s="945"/>
      <c r="NB45" s="945"/>
      <c r="NC45" s="945"/>
      <c r="ND45" s="945"/>
      <c r="NE45" s="945"/>
      <c r="NF45" s="945"/>
      <c r="NG45" s="945"/>
      <c r="NH45" s="945"/>
      <c r="NI45" s="945"/>
      <c r="NJ45" s="945"/>
      <c r="NK45" s="945"/>
      <c r="NL45" s="945"/>
      <c r="NM45" s="945"/>
      <c r="NN45" s="945"/>
      <c r="NO45" s="945"/>
      <c r="NP45" s="945"/>
      <c r="NQ45" s="945"/>
      <c r="NR45" s="945"/>
      <c r="NS45" s="945"/>
      <c r="NT45" s="945"/>
      <c r="NU45" s="945"/>
      <c r="NV45" s="945"/>
      <c r="NW45" s="945"/>
      <c r="NX45" s="945"/>
      <c r="NY45" s="945"/>
      <c r="NZ45" s="945"/>
      <c r="OA45" s="945"/>
      <c r="OB45" s="945"/>
      <c r="OC45" s="945"/>
      <c r="OD45" s="945"/>
      <c r="OE45" s="945"/>
      <c r="OF45" s="945"/>
      <c r="OG45" s="945"/>
      <c r="OH45" s="945"/>
      <c r="OI45" s="945"/>
      <c r="OJ45" s="945"/>
      <c r="OK45" s="945"/>
      <c r="OL45" s="945"/>
      <c r="OM45" s="945"/>
      <c r="ON45" s="945"/>
      <c r="OO45" s="945"/>
      <c r="OP45" s="945"/>
      <c r="OQ45" s="945"/>
      <c r="OR45" s="945"/>
      <c r="OS45" s="945"/>
      <c r="OT45" s="945"/>
      <c r="OU45" s="945"/>
      <c r="OV45" s="945"/>
      <c r="OW45" s="945"/>
      <c r="OX45" s="945"/>
      <c r="OY45" s="945"/>
      <c r="OZ45" s="945"/>
      <c r="PA45" s="945"/>
      <c r="PB45" s="945"/>
      <c r="PC45" s="945"/>
      <c r="PD45" s="945"/>
      <c r="PE45" s="945"/>
      <c r="PF45" s="945"/>
      <c r="PG45" s="945"/>
      <c r="PH45" s="945"/>
      <c r="PI45" s="945"/>
      <c r="PJ45" s="945"/>
      <c r="PK45" s="945"/>
      <c r="PL45" s="945"/>
      <c r="PM45" s="945"/>
      <c r="PN45" s="945"/>
      <c r="PO45" s="945"/>
    </row>
    <row r="46" spans="1:431" s="165" customFormat="1">
      <c r="A46" s="945"/>
      <c r="B46" s="945"/>
      <c r="C46" s="948"/>
      <c r="D46" s="948"/>
      <c r="E46" s="948"/>
      <c r="F46" s="948"/>
      <c r="G46" s="948"/>
      <c r="H46" s="948"/>
      <c r="I46" s="948"/>
      <c r="J46" s="948"/>
      <c r="K46" s="948"/>
      <c r="L46" s="948"/>
      <c r="M46" s="945"/>
      <c r="N46" s="945"/>
      <c r="O46" s="945"/>
      <c r="P46" s="945"/>
      <c r="Q46" s="945"/>
      <c r="R46" s="945"/>
      <c r="S46" s="945"/>
      <c r="T46" s="945"/>
      <c r="U46" s="945"/>
      <c r="V46" s="945"/>
      <c r="W46" s="945"/>
      <c r="X46" s="945"/>
      <c r="Y46" s="945"/>
      <c r="Z46" s="945"/>
      <c r="AA46" s="945"/>
      <c r="AB46" s="945"/>
      <c r="AC46" s="945"/>
      <c r="AD46" s="945"/>
      <c r="AE46" s="945"/>
      <c r="AF46" s="945"/>
      <c r="AG46" s="945"/>
      <c r="AH46" s="945"/>
      <c r="AI46" s="945"/>
      <c r="AJ46" s="945"/>
      <c r="AK46" s="945"/>
      <c r="AL46" s="945"/>
      <c r="AM46" s="945"/>
      <c r="AN46" s="945"/>
      <c r="AO46" s="945"/>
      <c r="AP46" s="945"/>
      <c r="AQ46" s="945"/>
      <c r="AR46" s="945"/>
      <c r="AS46" s="945"/>
      <c r="AT46" s="945"/>
      <c r="AU46" s="945"/>
      <c r="AV46" s="945"/>
      <c r="AW46" s="945"/>
      <c r="AX46" s="945"/>
      <c r="AY46" s="945"/>
      <c r="AZ46" s="945"/>
      <c r="BA46" s="945"/>
      <c r="BB46" s="945"/>
      <c r="BC46" s="945"/>
      <c r="BD46" s="945"/>
      <c r="BE46" s="945"/>
      <c r="BF46" s="945"/>
      <c r="BG46" s="945"/>
      <c r="BH46" s="945"/>
      <c r="BI46" s="945"/>
      <c r="BJ46" s="945"/>
      <c r="BK46" s="945"/>
      <c r="BL46" s="945"/>
      <c r="BM46" s="945"/>
      <c r="BN46" s="945"/>
      <c r="BO46" s="945"/>
      <c r="BP46" s="945"/>
      <c r="BQ46" s="945"/>
      <c r="BR46" s="945"/>
      <c r="BS46" s="945"/>
      <c r="BT46" s="945"/>
      <c r="BU46" s="945"/>
      <c r="BV46" s="945"/>
      <c r="BW46" s="945"/>
      <c r="BX46" s="945"/>
      <c r="BY46" s="945"/>
      <c r="BZ46" s="945"/>
      <c r="CA46" s="945"/>
      <c r="CB46" s="945"/>
      <c r="CC46" s="945"/>
      <c r="CD46" s="945"/>
      <c r="CE46" s="945"/>
      <c r="CF46" s="945"/>
      <c r="CG46" s="945"/>
      <c r="CH46" s="945"/>
      <c r="CI46" s="945"/>
      <c r="CJ46" s="945"/>
      <c r="CK46" s="945"/>
      <c r="CL46" s="945"/>
      <c r="CM46" s="945"/>
      <c r="CN46" s="945"/>
      <c r="CO46" s="945"/>
      <c r="CP46" s="945"/>
      <c r="CQ46" s="945"/>
      <c r="CR46" s="945"/>
      <c r="CS46" s="945"/>
      <c r="CT46" s="945"/>
      <c r="CU46" s="945"/>
      <c r="CV46" s="945"/>
      <c r="CW46" s="945"/>
      <c r="CX46" s="945"/>
      <c r="CY46" s="945"/>
      <c r="CZ46" s="945"/>
      <c r="DA46" s="945"/>
      <c r="DB46" s="945"/>
      <c r="DC46" s="945"/>
      <c r="DD46" s="945"/>
      <c r="DE46" s="945"/>
      <c r="DF46" s="945"/>
      <c r="DG46" s="945"/>
      <c r="DH46" s="945"/>
      <c r="DI46" s="945"/>
      <c r="DJ46" s="945"/>
      <c r="DK46" s="945"/>
      <c r="DL46" s="945"/>
      <c r="DM46" s="945"/>
      <c r="DN46" s="945"/>
      <c r="DO46" s="945"/>
      <c r="DP46" s="945"/>
      <c r="DQ46" s="945"/>
      <c r="DR46" s="945"/>
      <c r="DS46" s="945"/>
      <c r="DT46" s="945"/>
      <c r="DU46" s="945"/>
      <c r="DV46" s="945"/>
      <c r="DW46" s="945"/>
      <c r="DX46" s="945"/>
      <c r="DY46" s="945"/>
      <c r="DZ46" s="945"/>
      <c r="EA46" s="945"/>
      <c r="EB46" s="945"/>
      <c r="EC46" s="945"/>
      <c r="ED46" s="945"/>
      <c r="EE46" s="945"/>
      <c r="EF46" s="945"/>
      <c r="EG46" s="945"/>
      <c r="EH46" s="945"/>
      <c r="EI46" s="945"/>
      <c r="EJ46" s="945"/>
      <c r="EK46" s="945"/>
      <c r="EL46" s="945"/>
      <c r="EM46" s="945"/>
      <c r="EN46" s="945"/>
      <c r="EO46" s="945"/>
      <c r="EP46" s="945"/>
      <c r="EQ46" s="945"/>
      <c r="ER46" s="945"/>
      <c r="ES46" s="945"/>
      <c r="ET46" s="945"/>
      <c r="EU46" s="945"/>
      <c r="EV46" s="945"/>
      <c r="EW46" s="945"/>
      <c r="EX46" s="945"/>
      <c r="EY46" s="945"/>
      <c r="EZ46" s="945"/>
      <c r="FA46" s="945"/>
      <c r="FB46" s="945"/>
      <c r="FC46" s="945"/>
      <c r="FD46" s="945"/>
      <c r="FE46" s="945"/>
      <c r="FF46" s="945"/>
      <c r="FG46" s="945"/>
      <c r="FH46" s="945"/>
      <c r="FI46" s="945"/>
      <c r="FJ46" s="945"/>
      <c r="FK46" s="945"/>
      <c r="FL46" s="945"/>
      <c r="FM46" s="945"/>
      <c r="FN46" s="945"/>
      <c r="FO46" s="945"/>
      <c r="FP46" s="945"/>
      <c r="FQ46" s="945"/>
      <c r="FR46" s="945"/>
      <c r="FS46" s="945"/>
      <c r="FT46" s="945"/>
      <c r="FU46" s="945"/>
      <c r="FV46" s="945"/>
      <c r="FW46" s="945"/>
      <c r="FX46" s="945"/>
      <c r="FY46" s="945"/>
      <c r="FZ46" s="945"/>
      <c r="GA46" s="945"/>
      <c r="GB46" s="945"/>
      <c r="GC46" s="945"/>
      <c r="GD46" s="945"/>
      <c r="GE46" s="945"/>
      <c r="GF46" s="945"/>
      <c r="GG46" s="945"/>
      <c r="GH46" s="945"/>
      <c r="GI46" s="945"/>
      <c r="GJ46" s="945"/>
      <c r="GK46" s="945"/>
      <c r="GL46" s="945"/>
      <c r="GM46" s="945"/>
      <c r="GN46" s="945"/>
      <c r="GO46" s="945"/>
      <c r="GP46" s="945"/>
      <c r="GQ46" s="945"/>
      <c r="GR46" s="945"/>
      <c r="GS46" s="945"/>
      <c r="GT46" s="945"/>
      <c r="GU46" s="945"/>
      <c r="GV46" s="945"/>
      <c r="GW46" s="945"/>
      <c r="GX46" s="945"/>
      <c r="GY46" s="945"/>
      <c r="GZ46" s="945"/>
      <c r="HA46" s="945"/>
      <c r="HB46" s="945"/>
      <c r="HC46" s="945"/>
      <c r="HD46" s="945"/>
      <c r="HE46" s="945"/>
      <c r="HF46" s="945"/>
      <c r="HG46" s="945"/>
      <c r="HH46" s="945"/>
      <c r="HI46" s="945"/>
      <c r="HJ46" s="945"/>
      <c r="HK46" s="945"/>
      <c r="HL46" s="945"/>
      <c r="HM46" s="945"/>
      <c r="HN46" s="945"/>
      <c r="HO46" s="945"/>
      <c r="HP46" s="945"/>
      <c r="HQ46" s="945"/>
      <c r="HR46" s="945"/>
      <c r="HS46" s="945"/>
      <c r="HT46" s="945"/>
      <c r="HU46" s="945"/>
      <c r="HV46" s="945"/>
      <c r="HW46" s="945"/>
      <c r="HX46" s="945"/>
      <c r="HY46" s="945"/>
      <c r="HZ46" s="945"/>
      <c r="IA46" s="945"/>
      <c r="IB46" s="945"/>
      <c r="IC46" s="945"/>
      <c r="ID46" s="945"/>
      <c r="IE46" s="945"/>
      <c r="IF46" s="945"/>
      <c r="IG46" s="945"/>
      <c r="IH46" s="945"/>
      <c r="II46" s="945"/>
      <c r="IJ46" s="945"/>
      <c r="IK46" s="945"/>
      <c r="IL46" s="945"/>
      <c r="IM46" s="945"/>
      <c r="IN46" s="945"/>
      <c r="IO46" s="945"/>
      <c r="IP46" s="945"/>
      <c r="IQ46" s="945"/>
      <c r="IR46" s="945"/>
      <c r="IS46" s="945"/>
      <c r="IT46" s="945"/>
      <c r="IU46" s="945"/>
      <c r="IV46" s="945"/>
      <c r="IW46" s="945"/>
      <c r="IX46" s="945"/>
      <c r="IY46" s="945"/>
      <c r="IZ46" s="945"/>
      <c r="JA46" s="945"/>
      <c r="JB46" s="945"/>
      <c r="JC46" s="945"/>
      <c r="JD46" s="945"/>
      <c r="JE46" s="945"/>
      <c r="JF46" s="945"/>
      <c r="JG46" s="945"/>
      <c r="JH46" s="945"/>
      <c r="JI46" s="945"/>
      <c r="JJ46" s="945"/>
      <c r="JK46" s="945"/>
      <c r="JL46" s="945"/>
      <c r="JM46" s="945"/>
      <c r="JN46" s="945"/>
      <c r="JO46" s="945"/>
      <c r="JP46" s="945"/>
      <c r="JQ46" s="945"/>
      <c r="JR46" s="945"/>
      <c r="JS46" s="945"/>
      <c r="JT46" s="945"/>
      <c r="JU46" s="945"/>
      <c r="JV46" s="945"/>
      <c r="JW46" s="945"/>
      <c r="JX46" s="945"/>
      <c r="JY46" s="945"/>
      <c r="JZ46" s="945"/>
      <c r="KA46" s="945"/>
      <c r="KB46" s="945"/>
      <c r="KC46" s="945"/>
      <c r="KD46" s="945"/>
      <c r="KE46" s="945"/>
      <c r="KF46" s="945"/>
      <c r="KG46" s="945"/>
      <c r="KH46" s="945"/>
      <c r="KI46" s="945"/>
      <c r="KJ46" s="945"/>
      <c r="KK46" s="945"/>
      <c r="KL46" s="945"/>
      <c r="KM46" s="945"/>
      <c r="KN46" s="945"/>
      <c r="KO46" s="945"/>
      <c r="KP46" s="945"/>
      <c r="KQ46" s="945"/>
      <c r="KR46" s="945"/>
      <c r="KS46" s="945"/>
      <c r="KT46" s="945"/>
      <c r="KU46" s="945"/>
      <c r="KV46" s="945"/>
      <c r="KW46" s="945"/>
      <c r="KX46" s="945"/>
      <c r="KY46" s="945"/>
      <c r="KZ46" s="945"/>
      <c r="LA46" s="945"/>
      <c r="LB46" s="945"/>
      <c r="LC46" s="945"/>
      <c r="LD46" s="945"/>
      <c r="LE46" s="945"/>
      <c r="LF46" s="945"/>
      <c r="LG46" s="945"/>
      <c r="LH46" s="945"/>
      <c r="LI46" s="945"/>
      <c r="LJ46" s="945"/>
      <c r="LK46" s="945"/>
      <c r="LL46" s="945"/>
      <c r="LM46" s="945"/>
      <c r="LN46" s="945"/>
      <c r="LO46" s="945"/>
      <c r="LP46" s="945"/>
      <c r="LQ46" s="945"/>
      <c r="LR46" s="945"/>
      <c r="LS46" s="945"/>
      <c r="LT46" s="945"/>
      <c r="LU46" s="945"/>
      <c r="LV46" s="945"/>
      <c r="LW46" s="945"/>
      <c r="LX46" s="945"/>
      <c r="LY46" s="945"/>
      <c r="LZ46" s="945"/>
      <c r="MA46" s="945"/>
      <c r="MB46" s="945"/>
      <c r="MC46" s="945"/>
      <c r="MD46" s="945"/>
      <c r="ME46" s="945"/>
      <c r="MF46" s="945"/>
      <c r="MG46" s="945"/>
      <c r="MH46" s="945"/>
      <c r="MI46" s="945"/>
      <c r="MJ46" s="945"/>
      <c r="MK46" s="945"/>
      <c r="ML46" s="945"/>
      <c r="MM46" s="945"/>
      <c r="MN46" s="945"/>
      <c r="MO46" s="945"/>
      <c r="MP46" s="945"/>
      <c r="MQ46" s="945"/>
      <c r="MR46" s="945"/>
      <c r="MS46" s="945"/>
      <c r="MT46" s="945"/>
      <c r="MU46" s="945"/>
      <c r="MV46" s="945"/>
      <c r="MW46" s="945"/>
      <c r="MX46" s="945"/>
      <c r="MY46" s="945"/>
      <c r="MZ46" s="945"/>
      <c r="NA46" s="945"/>
      <c r="NB46" s="945"/>
      <c r="NC46" s="945"/>
      <c r="ND46" s="945"/>
      <c r="NE46" s="945"/>
      <c r="NF46" s="945"/>
      <c r="NG46" s="945"/>
      <c r="NH46" s="945"/>
      <c r="NI46" s="945"/>
      <c r="NJ46" s="945"/>
      <c r="NK46" s="945"/>
      <c r="NL46" s="945"/>
      <c r="NM46" s="945"/>
      <c r="NN46" s="945"/>
      <c r="NO46" s="945"/>
      <c r="NP46" s="945"/>
      <c r="NQ46" s="945"/>
      <c r="NR46" s="945"/>
      <c r="NS46" s="945"/>
      <c r="NT46" s="945"/>
      <c r="NU46" s="945"/>
      <c r="NV46" s="945"/>
      <c r="NW46" s="945"/>
      <c r="NX46" s="945"/>
      <c r="NY46" s="945"/>
      <c r="NZ46" s="945"/>
      <c r="OA46" s="945"/>
      <c r="OB46" s="945"/>
      <c r="OC46" s="945"/>
      <c r="OD46" s="945"/>
      <c r="OE46" s="945"/>
      <c r="OF46" s="945"/>
      <c r="OG46" s="945"/>
      <c r="OH46" s="945"/>
      <c r="OI46" s="945"/>
      <c r="OJ46" s="945"/>
      <c r="OK46" s="945"/>
      <c r="OL46" s="945"/>
      <c r="OM46" s="945"/>
      <c r="ON46" s="945"/>
      <c r="OO46" s="945"/>
      <c r="OP46" s="945"/>
      <c r="OQ46" s="945"/>
      <c r="OR46" s="945"/>
      <c r="OS46" s="945"/>
      <c r="OT46" s="945"/>
      <c r="OU46" s="945"/>
      <c r="OV46" s="945"/>
      <c r="OW46" s="945"/>
      <c r="OX46" s="945"/>
      <c r="OY46" s="945"/>
      <c r="OZ46" s="945"/>
      <c r="PA46" s="945"/>
      <c r="PB46" s="945"/>
      <c r="PC46" s="945"/>
      <c r="PD46" s="945"/>
      <c r="PE46" s="945"/>
      <c r="PF46" s="945"/>
      <c r="PG46" s="945"/>
      <c r="PH46" s="945"/>
      <c r="PI46" s="945"/>
      <c r="PJ46" s="945"/>
      <c r="PK46" s="945"/>
      <c r="PL46" s="945"/>
      <c r="PM46" s="945"/>
      <c r="PN46" s="945"/>
      <c r="PO46" s="945"/>
    </row>
    <row r="47" spans="1:431" s="165" customFormat="1">
      <c r="A47" s="945"/>
      <c r="B47" s="945"/>
      <c r="C47" s="948"/>
      <c r="D47" s="948"/>
      <c r="E47" s="948"/>
      <c r="F47" s="948"/>
      <c r="G47" s="948"/>
      <c r="H47" s="948"/>
      <c r="I47" s="948"/>
      <c r="J47" s="948"/>
      <c r="K47" s="948"/>
      <c r="L47" s="948"/>
      <c r="M47" s="945"/>
      <c r="N47" s="945"/>
      <c r="O47" s="945"/>
      <c r="P47" s="945"/>
      <c r="Q47" s="945"/>
      <c r="R47" s="945"/>
      <c r="S47" s="945"/>
      <c r="T47" s="945"/>
      <c r="U47" s="945"/>
      <c r="V47" s="945"/>
      <c r="W47" s="945"/>
      <c r="X47" s="945"/>
      <c r="Y47" s="945"/>
      <c r="Z47" s="945"/>
      <c r="AA47" s="945"/>
      <c r="AB47" s="945"/>
      <c r="AC47" s="945"/>
      <c r="AD47" s="945"/>
      <c r="AE47" s="945"/>
      <c r="AF47" s="945"/>
      <c r="AG47" s="945"/>
      <c r="AH47" s="945"/>
      <c r="AI47" s="945"/>
      <c r="AJ47" s="945"/>
      <c r="AK47" s="945"/>
      <c r="AL47" s="945"/>
      <c r="AM47" s="945"/>
      <c r="AN47" s="945"/>
      <c r="AO47" s="945"/>
      <c r="AP47" s="945"/>
      <c r="AQ47" s="945"/>
      <c r="AR47" s="945"/>
      <c r="AS47" s="945"/>
      <c r="AT47" s="945"/>
      <c r="AU47" s="945"/>
      <c r="AV47" s="945"/>
      <c r="AW47" s="945"/>
      <c r="AX47" s="945"/>
      <c r="AY47" s="945"/>
      <c r="AZ47" s="945"/>
      <c r="BA47" s="945"/>
      <c r="BB47" s="945"/>
      <c r="BC47" s="945"/>
      <c r="BD47" s="945"/>
      <c r="BE47" s="945"/>
      <c r="BF47" s="945"/>
      <c r="BG47" s="945"/>
      <c r="BH47" s="945"/>
      <c r="BI47" s="945"/>
      <c r="BJ47" s="945"/>
      <c r="BK47" s="945"/>
      <c r="BL47" s="945"/>
      <c r="BM47" s="945"/>
      <c r="BN47" s="945"/>
      <c r="BO47" s="945"/>
      <c r="BP47" s="945"/>
      <c r="BQ47" s="945"/>
      <c r="BR47" s="945"/>
      <c r="BS47" s="945"/>
      <c r="BT47" s="945"/>
      <c r="BU47" s="945"/>
      <c r="BV47" s="945"/>
      <c r="BW47" s="945"/>
      <c r="BX47" s="945"/>
      <c r="BY47" s="945"/>
      <c r="BZ47" s="945"/>
      <c r="CA47" s="945"/>
      <c r="CB47" s="945"/>
      <c r="CC47" s="945"/>
      <c r="CD47" s="945"/>
      <c r="CE47" s="945"/>
      <c r="CF47" s="945"/>
      <c r="CG47" s="945"/>
      <c r="CH47" s="945"/>
      <c r="CI47" s="945"/>
      <c r="CJ47" s="945"/>
      <c r="CK47" s="945"/>
      <c r="CL47" s="945"/>
      <c r="CM47" s="945"/>
      <c r="CN47" s="945"/>
      <c r="CO47" s="945"/>
      <c r="CP47" s="945"/>
      <c r="CQ47" s="945"/>
      <c r="CR47" s="945"/>
      <c r="CS47" s="945"/>
      <c r="CT47" s="945"/>
      <c r="CU47" s="945"/>
      <c r="CV47" s="945"/>
      <c r="CW47" s="945"/>
      <c r="CX47" s="945"/>
      <c r="CY47" s="945"/>
      <c r="CZ47" s="945"/>
      <c r="DA47" s="945"/>
      <c r="DB47" s="945"/>
      <c r="DC47" s="945"/>
      <c r="DD47" s="945"/>
      <c r="DE47" s="945"/>
      <c r="DF47" s="945"/>
      <c r="DG47" s="945"/>
      <c r="DH47" s="945"/>
      <c r="DI47" s="945"/>
      <c r="DJ47" s="945"/>
      <c r="DK47" s="945"/>
      <c r="DL47" s="945"/>
      <c r="DM47" s="945"/>
      <c r="DN47" s="945"/>
      <c r="DO47" s="945"/>
      <c r="DP47" s="945"/>
      <c r="DQ47" s="945"/>
      <c r="DR47" s="945"/>
      <c r="DS47" s="945"/>
      <c r="DT47" s="945"/>
      <c r="DU47" s="945"/>
      <c r="DV47" s="945"/>
      <c r="DW47" s="945"/>
      <c r="DX47" s="945"/>
      <c r="DY47" s="945"/>
      <c r="DZ47" s="945"/>
      <c r="EA47" s="945"/>
      <c r="EB47" s="945"/>
      <c r="EC47" s="945"/>
      <c r="ED47" s="945"/>
      <c r="EE47" s="945"/>
      <c r="EF47" s="945"/>
      <c r="EG47" s="945"/>
      <c r="EH47" s="945"/>
      <c r="EI47" s="945"/>
      <c r="EJ47" s="945"/>
      <c r="EK47" s="945"/>
      <c r="EL47" s="945"/>
      <c r="EM47" s="945"/>
      <c r="EN47" s="945"/>
      <c r="EO47" s="945"/>
      <c r="EP47" s="945"/>
      <c r="EQ47" s="945"/>
      <c r="ER47" s="945"/>
      <c r="ES47" s="945"/>
      <c r="ET47" s="945"/>
      <c r="EU47" s="945"/>
      <c r="EV47" s="945"/>
      <c r="EW47" s="945"/>
      <c r="EX47" s="945"/>
      <c r="EY47" s="945"/>
      <c r="EZ47" s="945"/>
      <c r="FA47" s="945"/>
      <c r="FB47" s="945"/>
      <c r="FC47" s="945"/>
      <c r="FD47" s="945"/>
      <c r="FE47" s="945"/>
      <c r="FF47" s="945"/>
      <c r="FG47" s="945"/>
      <c r="FH47" s="945"/>
      <c r="FI47" s="945"/>
      <c r="FJ47" s="945"/>
      <c r="FK47" s="945"/>
      <c r="FL47" s="945"/>
      <c r="FM47" s="945"/>
      <c r="FN47" s="945"/>
      <c r="FO47" s="945"/>
      <c r="FP47" s="945"/>
      <c r="FQ47" s="945"/>
      <c r="FR47" s="945"/>
      <c r="FS47" s="945"/>
      <c r="FT47" s="945"/>
      <c r="FU47" s="945"/>
      <c r="FV47" s="945"/>
      <c r="FW47" s="945"/>
      <c r="FX47" s="945"/>
      <c r="FY47" s="945"/>
      <c r="FZ47" s="945"/>
      <c r="GA47" s="945"/>
      <c r="GB47" s="945"/>
      <c r="GC47" s="945"/>
      <c r="GD47" s="945"/>
      <c r="GE47" s="945"/>
      <c r="GF47" s="945"/>
      <c r="GG47" s="945"/>
      <c r="GH47" s="945"/>
      <c r="GI47" s="945"/>
      <c r="GJ47" s="945"/>
      <c r="GK47" s="945"/>
      <c r="GL47" s="945"/>
      <c r="GM47" s="945"/>
      <c r="GN47" s="945"/>
      <c r="GO47" s="945"/>
      <c r="GP47" s="945"/>
      <c r="GQ47" s="945"/>
      <c r="GR47" s="945"/>
      <c r="GS47" s="945"/>
      <c r="GT47" s="945"/>
      <c r="GU47" s="945"/>
      <c r="GV47" s="945"/>
      <c r="GW47" s="945"/>
      <c r="GX47" s="945"/>
      <c r="GY47" s="945"/>
      <c r="GZ47" s="945"/>
      <c r="HA47" s="945"/>
      <c r="HB47" s="945"/>
      <c r="HC47" s="945"/>
      <c r="HD47" s="945"/>
      <c r="HE47" s="945"/>
      <c r="HF47" s="945"/>
      <c r="HG47" s="945"/>
      <c r="HH47" s="945"/>
      <c r="HI47" s="945"/>
      <c r="HJ47" s="945"/>
      <c r="HK47" s="945"/>
      <c r="HL47" s="945"/>
      <c r="HM47" s="945"/>
      <c r="HN47" s="945"/>
      <c r="HO47" s="945"/>
      <c r="HP47" s="945"/>
      <c r="HQ47" s="945"/>
      <c r="HR47" s="945"/>
      <c r="HS47" s="945"/>
      <c r="HT47" s="945"/>
      <c r="HU47" s="945"/>
      <c r="HV47" s="945"/>
      <c r="HW47" s="945"/>
      <c r="HX47" s="945"/>
      <c r="HY47" s="945"/>
      <c r="HZ47" s="945"/>
      <c r="IA47" s="945"/>
      <c r="IB47" s="945"/>
      <c r="IC47" s="945"/>
      <c r="ID47" s="945"/>
      <c r="IE47" s="945"/>
      <c r="IF47" s="945"/>
      <c r="IG47" s="945"/>
      <c r="IH47" s="945"/>
      <c r="II47" s="945"/>
      <c r="IJ47" s="945"/>
      <c r="IK47" s="945"/>
      <c r="IL47" s="945"/>
      <c r="IM47" s="945"/>
      <c r="IN47" s="945"/>
      <c r="IO47" s="945"/>
      <c r="IP47" s="945"/>
      <c r="IQ47" s="945"/>
      <c r="IR47" s="945"/>
      <c r="IS47" s="945"/>
      <c r="IT47" s="945"/>
      <c r="IU47" s="945"/>
      <c r="IV47" s="945"/>
      <c r="IW47" s="945"/>
      <c r="IX47" s="945"/>
      <c r="IY47" s="945"/>
      <c r="IZ47" s="945"/>
      <c r="JA47" s="945"/>
      <c r="JB47" s="945"/>
      <c r="JC47" s="945"/>
      <c r="JD47" s="945"/>
      <c r="JE47" s="945"/>
      <c r="JF47" s="945"/>
      <c r="JG47" s="945"/>
      <c r="JH47" s="945"/>
      <c r="JI47" s="945"/>
      <c r="JJ47" s="945"/>
      <c r="JK47" s="945"/>
      <c r="JL47" s="945"/>
      <c r="JM47" s="945"/>
      <c r="JN47" s="945"/>
      <c r="JO47" s="945"/>
      <c r="JP47" s="945"/>
      <c r="JQ47" s="945"/>
      <c r="JR47" s="945"/>
      <c r="JS47" s="945"/>
      <c r="JT47" s="945"/>
      <c r="JU47" s="945"/>
      <c r="JV47" s="945"/>
      <c r="JW47" s="945"/>
      <c r="JX47" s="945"/>
      <c r="JY47" s="945"/>
      <c r="JZ47" s="945"/>
      <c r="KA47" s="945"/>
      <c r="KB47" s="945"/>
      <c r="KC47" s="945"/>
      <c r="KD47" s="945"/>
      <c r="KE47" s="945"/>
      <c r="KF47" s="945"/>
      <c r="KG47" s="945"/>
      <c r="KH47" s="945"/>
      <c r="KI47" s="945"/>
      <c r="KJ47" s="945"/>
      <c r="KK47" s="945"/>
      <c r="KL47" s="945"/>
      <c r="KM47" s="945"/>
      <c r="KN47" s="945"/>
      <c r="KO47" s="945"/>
      <c r="KP47" s="945"/>
      <c r="KQ47" s="945"/>
      <c r="KR47" s="945"/>
      <c r="KS47" s="945"/>
      <c r="KT47" s="945"/>
      <c r="KU47" s="945"/>
      <c r="KV47" s="945"/>
      <c r="KW47" s="945"/>
      <c r="KX47" s="945"/>
      <c r="KY47" s="945"/>
      <c r="KZ47" s="945"/>
      <c r="LA47" s="945"/>
      <c r="LB47" s="945"/>
      <c r="LC47" s="945"/>
      <c r="LD47" s="945"/>
      <c r="LE47" s="945"/>
      <c r="LF47" s="945"/>
      <c r="LG47" s="945"/>
      <c r="LH47" s="945"/>
      <c r="LI47" s="945"/>
      <c r="LJ47" s="945"/>
      <c r="LK47" s="945"/>
      <c r="LL47" s="945"/>
      <c r="LM47" s="945"/>
      <c r="LN47" s="945"/>
      <c r="LO47" s="945"/>
      <c r="LP47" s="945"/>
      <c r="LQ47" s="945"/>
      <c r="LR47" s="945"/>
      <c r="LS47" s="945"/>
      <c r="LT47" s="945"/>
      <c r="LU47" s="945"/>
      <c r="LV47" s="945"/>
      <c r="LW47" s="945"/>
      <c r="LX47" s="945"/>
      <c r="LY47" s="945"/>
      <c r="LZ47" s="945"/>
      <c r="MA47" s="945"/>
      <c r="MB47" s="945"/>
      <c r="MC47" s="945"/>
      <c r="MD47" s="945"/>
      <c r="ME47" s="945"/>
      <c r="MF47" s="945"/>
      <c r="MG47" s="945"/>
      <c r="MH47" s="945"/>
      <c r="MI47" s="945"/>
      <c r="MJ47" s="945"/>
      <c r="MK47" s="945"/>
      <c r="ML47" s="945"/>
      <c r="MM47" s="945"/>
      <c r="MN47" s="945"/>
      <c r="MO47" s="945"/>
      <c r="MP47" s="945"/>
      <c r="MQ47" s="945"/>
      <c r="MR47" s="945"/>
      <c r="MS47" s="945"/>
      <c r="MT47" s="945"/>
      <c r="MU47" s="945"/>
      <c r="MV47" s="945"/>
      <c r="MW47" s="945"/>
      <c r="MX47" s="945"/>
      <c r="MY47" s="945"/>
      <c r="MZ47" s="945"/>
      <c r="NA47" s="945"/>
      <c r="NB47" s="945"/>
      <c r="NC47" s="945"/>
      <c r="ND47" s="945"/>
      <c r="NE47" s="945"/>
      <c r="NF47" s="945"/>
      <c r="NG47" s="945"/>
      <c r="NH47" s="945"/>
      <c r="NI47" s="945"/>
      <c r="NJ47" s="945"/>
      <c r="NK47" s="945"/>
      <c r="NL47" s="945"/>
      <c r="NM47" s="945"/>
      <c r="NN47" s="945"/>
      <c r="NO47" s="945"/>
      <c r="NP47" s="945"/>
      <c r="NQ47" s="945"/>
      <c r="NR47" s="945"/>
      <c r="NS47" s="945"/>
      <c r="NT47" s="945"/>
      <c r="NU47" s="945"/>
      <c r="NV47" s="945"/>
      <c r="NW47" s="945"/>
      <c r="NX47" s="945"/>
      <c r="NY47" s="945"/>
      <c r="NZ47" s="945"/>
      <c r="OA47" s="945"/>
      <c r="OB47" s="945"/>
      <c r="OC47" s="945"/>
      <c r="OD47" s="945"/>
      <c r="OE47" s="945"/>
      <c r="OF47" s="945"/>
      <c r="OG47" s="945"/>
      <c r="OH47" s="945"/>
      <c r="OI47" s="945"/>
      <c r="OJ47" s="945"/>
      <c r="OK47" s="945"/>
      <c r="OL47" s="945"/>
      <c r="OM47" s="945"/>
      <c r="ON47" s="945"/>
      <c r="OO47" s="945"/>
      <c r="OP47" s="945"/>
      <c r="OQ47" s="945"/>
      <c r="OR47" s="945"/>
      <c r="OS47" s="945"/>
      <c r="OT47" s="945"/>
      <c r="OU47" s="945"/>
      <c r="OV47" s="945"/>
      <c r="OW47" s="945"/>
      <c r="OX47" s="945"/>
      <c r="OY47" s="945"/>
      <c r="OZ47" s="945"/>
      <c r="PA47" s="945"/>
      <c r="PB47" s="945"/>
      <c r="PC47" s="945"/>
      <c r="PD47" s="945"/>
      <c r="PE47" s="945"/>
      <c r="PF47" s="945"/>
      <c r="PG47" s="945"/>
      <c r="PH47" s="945"/>
      <c r="PI47" s="945"/>
      <c r="PJ47" s="945"/>
      <c r="PK47" s="945"/>
      <c r="PL47" s="945"/>
      <c r="PM47" s="945"/>
      <c r="PN47" s="945"/>
      <c r="PO47" s="945"/>
    </row>
    <row r="48" spans="1:431" s="165" customFormat="1">
      <c r="A48" s="945"/>
      <c r="B48" s="945"/>
      <c r="C48" s="948"/>
      <c r="D48" s="948"/>
      <c r="E48" s="948"/>
      <c r="F48" s="948"/>
      <c r="G48" s="948"/>
      <c r="H48" s="948"/>
      <c r="I48" s="948"/>
      <c r="J48" s="948"/>
      <c r="K48" s="948"/>
      <c r="L48" s="948"/>
      <c r="M48" s="945"/>
      <c r="N48" s="945"/>
      <c r="O48" s="945"/>
      <c r="P48" s="945"/>
      <c r="Q48" s="945"/>
      <c r="R48" s="945"/>
      <c r="S48" s="945"/>
      <c r="T48" s="945"/>
      <c r="U48" s="945"/>
      <c r="V48" s="945"/>
      <c r="W48" s="945"/>
      <c r="X48" s="945"/>
      <c r="Y48" s="945"/>
      <c r="Z48" s="945"/>
      <c r="AA48" s="945"/>
      <c r="AB48" s="945"/>
      <c r="AC48" s="945"/>
      <c r="AD48" s="945"/>
      <c r="AE48" s="945"/>
      <c r="AF48" s="945"/>
      <c r="AG48" s="945"/>
      <c r="AH48" s="945"/>
      <c r="AI48" s="945"/>
      <c r="AJ48" s="945"/>
      <c r="AK48" s="945"/>
      <c r="AL48" s="945"/>
      <c r="AM48" s="945"/>
      <c r="AN48" s="945"/>
      <c r="AO48" s="945"/>
      <c r="AP48" s="945"/>
      <c r="AQ48" s="945"/>
      <c r="AR48" s="945"/>
      <c r="AS48" s="945"/>
      <c r="AT48" s="945"/>
      <c r="AU48" s="945"/>
      <c r="AV48" s="945"/>
      <c r="AW48" s="945"/>
      <c r="AX48" s="945"/>
      <c r="AY48" s="945"/>
      <c r="AZ48" s="945"/>
      <c r="BA48" s="945"/>
      <c r="BB48" s="945"/>
      <c r="BC48" s="945"/>
      <c r="BD48" s="945"/>
      <c r="BE48" s="945"/>
      <c r="BF48" s="945"/>
      <c r="BG48" s="945"/>
      <c r="BH48" s="945"/>
      <c r="BI48" s="945"/>
      <c r="BJ48" s="945"/>
      <c r="BK48" s="945"/>
      <c r="BL48" s="945"/>
      <c r="BM48" s="945"/>
      <c r="BN48" s="945"/>
      <c r="BO48" s="945"/>
      <c r="BP48" s="945"/>
      <c r="BQ48" s="945"/>
      <c r="BR48" s="945"/>
      <c r="BS48" s="945"/>
      <c r="BT48" s="945"/>
      <c r="BU48" s="945"/>
      <c r="BV48" s="945"/>
      <c r="BW48" s="945"/>
      <c r="BX48" s="945"/>
      <c r="BY48" s="945"/>
      <c r="BZ48" s="945"/>
      <c r="CA48" s="945"/>
      <c r="CB48" s="945"/>
      <c r="CC48" s="945"/>
      <c r="CD48" s="945"/>
      <c r="CE48" s="945"/>
      <c r="CF48" s="945"/>
      <c r="CG48" s="945"/>
      <c r="CH48" s="945"/>
      <c r="CI48" s="945"/>
      <c r="CJ48" s="945"/>
      <c r="CK48" s="945"/>
      <c r="CL48" s="945"/>
      <c r="CM48" s="945"/>
      <c r="CN48" s="945"/>
      <c r="CO48" s="945"/>
      <c r="CP48" s="945"/>
      <c r="CQ48" s="945"/>
      <c r="CR48" s="945"/>
      <c r="CS48" s="945"/>
      <c r="CT48" s="945"/>
      <c r="CU48" s="945"/>
      <c r="CV48" s="945"/>
      <c r="CW48" s="945"/>
      <c r="CX48" s="945"/>
      <c r="CY48" s="945"/>
      <c r="CZ48" s="945"/>
      <c r="DA48" s="945"/>
      <c r="DB48" s="945"/>
      <c r="DC48" s="945"/>
      <c r="DD48" s="945"/>
      <c r="DE48" s="945"/>
      <c r="DF48" s="945"/>
      <c r="DG48" s="945"/>
      <c r="DH48" s="945"/>
      <c r="DI48" s="945"/>
      <c r="DJ48" s="945"/>
      <c r="DK48" s="945"/>
      <c r="DL48" s="945"/>
      <c r="DM48" s="945"/>
      <c r="DN48" s="945"/>
      <c r="DO48" s="945"/>
      <c r="DP48" s="945"/>
      <c r="DQ48" s="945"/>
      <c r="DR48" s="945"/>
      <c r="DS48" s="945"/>
      <c r="DT48" s="945"/>
      <c r="DU48" s="945"/>
      <c r="DV48" s="945"/>
      <c r="DW48" s="945"/>
      <c r="DX48" s="945"/>
      <c r="DY48" s="945"/>
      <c r="DZ48" s="945"/>
      <c r="EA48" s="945"/>
      <c r="EB48" s="945"/>
      <c r="EC48" s="945"/>
      <c r="ED48" s="945"/>
      <c r="EE48" s="945"/>
      <c r="EF48" s="945"/>
      <c r="EG48" s="945"/>
      <c r="EH48" s="945"/>
      <c r="EI48" s="945"/>
      <c r="EJ48" s="945"/>
      <c r="EK48" s="945"/>
      <c r="EL48" s="945"/>
      <c r="EM48" s="945"/>
      <c r="EN48" s="945"/>
      <c r="EO48" s="945"/>
      <c r="EP48" s="945"/>
      <c r="EQ48" s="945"/>
      <c r="ER48" s="945"/>
      <c r="ES48" s="945"/>
      <c r="ET48" s="945"/>
      <c r="EU48" s="945"/>
      <c r="EV48" s="945"/>
      <c r="EW48" s="945"/>
      <c r="EX48" s="945"/>
      <c r="EY48" s="945"/>
      <c r="EZ48" s="945"/>
      <c r="FA48" s="945"/>
      <c r="FB48" s="945"/>
      <c r="FC48" s="945"/>
      <c r="FD48" s="945"/>
      <c r="FE48" s="945"/>
      <c r="FF48" s="945"/>
      <c r="FG48" s="945"/>
      <c r="FH48" s="945"/>
      <c r="FI48" s="945"/>
      <c r="FJ48" s="945"/>
      <c r="FK48" s="945"/>
      <c r="FL48" s="945"/>
      <c r="FM48" s="945"/>
      <c r="FN48" s="945"/>
      <c r="FO48" s="945"/>
      <c r="FP48" s="945"/>
      <c r="FQ48" s="945"/>
      <c r="FR48" s="945"/>
      <c r="FS48" s="945"/>
      <c r="FT48" s="945"/>
      <c r="FU48" s="945"/>
      <c r="FV48" s="945"/>
      <c r="FW48" s="945"/>
      <c r="FX48" s="945"/>
      <c r="FY48" s="945"/>
      <c r="FZ48" s="945"/>
      <c r="GA48" s="945"/>
      <c r="GB48" s="945"/>
      <c r="GC48" s="945"/>
      <c r="GD48" s="945"/>
      <c r="GE48" s="945"/>
      <c r="GF48" s="945"/>
      <c r="GG48" s="945"/>
      <c r="GH48" s="945"/>
      <c r="GI48" s="945"/>
      <c r="GJ48" s="945"/>
      <c r="GK48" s="945"/>
      <c r="GL48" s="945"/>
      <c r="GM48" s="945"/>
      <c r="GN48" s="945"/>
      <c r="GO48" s="945"/>
      <c r="GP48" s="945"/>
      <c r="GQ48" s="945"/>
      <c r="GR48" s="945"/>
      <c r="GS48" s="945"/>
      <c r="GT48" s="945"/>
      <c r="GU48" s="945"/>
      <c r="GV48" s="945"/>
      <c r="GW48" s="945"/>
      <c r="GX48" s="945"/>
      <c r="GY48" s="945"/>
      <c r="GZ48" s="945"/>
      <c r="HA48" s="945"/>
      <c r="HB48" s="945"/>
      <c r="HC48" s="945"/>
      <c r="HD48" s="945"/>
      <c r="HE48" s="945"/>
      <c r="HF48" s="945"/>
      <c r="HG48" s="945"/>
      <c r="HH48" s="945"/>
      <c r="HI48" s="945"/>
      <c r="HJ48" s="945"/>
      <c r="HK48" s="945"/>
      <c r="HL48" s="945"/>
      <c r="HM48" s="945"/>
      <c r="HN48" s="945"/>
      <c r="HO48" s="945"/>
      <c r="HP48" s="945"/>
      <c r="HQ48" s="945"/>
      <c r="HR48" s="945"/>
      <c r="HS48" s="945"/>
      <c r="HT48" s="945"/>
      <c r="HU48" s="945"/>
      <c r="HV48" s="945"/>
      <c r="HW48" s="945"/>
      <c r="HX48" s="945"/>
      <c r="HY48" s="945"/>
      <c r="HZ48" s="945"/>
      <c r="IA48" s="945"/>
      <c r="IB48" s="945"/>
      <c r="IC48" s="945"/>
      <c r="ID48" s="945"/>
      <c r="IE48" s="945"/>
      <c r="IF48" s="945"/>
      <c r="IG48" s="945"/>
      <c r="IH48" s="945"/>
      <c r="II48" s="945"/>
      <c r="IJ48" s="945"/>
      <c r="IK48" s="945"/>
      <c r="IL48" s="945"/>
      <c r="IM48" s="945"/>
      <c r="IN48" s="945"/>
      <c r="IO48" s="945"/>
      <c r="IP48" s="945"/>
      <c r="IQ48" s="945"/>
      <c r="IR48" s="945"/>
      <c r="IS48" s="945"/>
      <c r="IT48" s="945"/>
      <c r="IU48" s="945"/>
      <c r="IV48" s="945"/>
      <c r="IW48" s="945"/>
      <c r="IX48" s="945"/>
      <c r="IY48" s="945"/>
      <c r="IZ48" s="945"/>
      <c r="JA48" s="945"/>
      <c r="JB48" s="945"/>
      <c r="JC48" s="945"/>
      <c r="JD48" s="945"/>
      <c r="JE48" s="945"/>
      <c r="JF48" s="945"/>
      <c r="JG48" s="945"/>
      <c r="JH48" s="945"/>
      <c r="JI48" s="945"/>
      <c r="JJ48" s="945"/>
      <c r="JK48" s="945"/>
      <c r="JL48" s="945"/>
      <c r="JM48" s="945"/>
      <c r="JN48" s="945"/>
      <c r="JO48" s="945"/>
      <c r="JP48" s="945"/>
      <c r="JQ48" s="945"/>
      <c r="JR48" s="945"/>
      <c r="JS48" s="945"/>
      <c r="JT48" s="945"/>
      <c r="JU48" s="945"/>
      <c r="JV48" s="945"/>
      <c r="JW48" s="945"/>
      <c r="JX48" s="945"/>
      <c r="JY48" s="945"/>
      <c r="JZ48" s="945"/>
      <c r="KA48" s="945"/>
      <c r="KB48" s="945"/>
      <c r="KC48" s="945"/>
      <c r="KD48" s="945"/>
      <c r="KE48" s="945"/>
      <c r="KF48" s="945"/>
      <c r="KG48" s="945"/>
      <c r="KH48" s="945"/>
      <c r="KI48" s="945"/>
      <c r="KJ48" s="945"/>
      <c r="KK48" s="945"/>
      <c r="KL48" s="945"/>
      <c r="KM48" s="945"/>
      <c r="KN48" s="945"/>
      <c r="KO48" s="945"/>
      <c r="KP48" s="945"/>
      <c r="KQ48" s="945"/>
      <c r="KR48" s="945"/>
      <c r="KS48" s="945"/>
      <c r="KT48" s="945"/>
      <c r="KU48" s="945"/>
      <c r="KV48" s="945"/>
      <c r="KW48" s="945"/>
      <c r="KX48" s="945"/>
      <c r="KY48" s="945"/>
      <c r="KZ48" s="945"/>
      <c r="LA48" s="945"/>
      <c r="LB48" s="945"/>
      <c r="LC48" s="945"/>
      <c r="LD48" s="945"/>
      <c r="LE48" s="945"/>
      <c r="LF48" s="945"/>
      <c r="LG48" s="945"/>
      <c r="LH48" s="945"/>
      <c r="LI48" s="945"/>
      <c r="LJ48" s="945"/>
      <c r="LK48" s="945"/>
      <c r="LL48" s="945"/>
      <c r="LM48" s="945"/>
      <c r="LN48" s="945"/>
      <c r="LO48" s="945"/>
      <c r="LP48" s="945"/>
      <c r="LQ48" s="945"/>
      <c r="LR48" s="945"/>
      <c r="LS48" s="945"/>
      <c r="LT48" s="945"/>
      <c r="LU48" s="945"/>
      <c r="LV48" s="945"/>
      <c r="LW48" s="945"/>
      <c r="LX48" s="945"/>
      <c r="LY48" s="945"/>
      <c r="LZ48" s="945"/>
      <c r="MA48" s="945"/>
      <c r="MB48" s="945"/>
      <c r="MC48" s="945"/>
      <c r="MD48" s="945"/>
      <c r="ME48" s="945"/>
      <c r="MF48" s="945"/>
      <c r="MG48" s="945"/>
      <c r="MH48" s="945"/>
      <c r="MI48" s="945"/>
      <c r="MJ48" s="945"/>
      <c r="MK48" s="945"/>
      <c r="ML48" s="945"/>
      <c r="MM48" s="945"/>
      <c r="MN48" s="945"/>
      <c r="MO48" s="945"/>
      <c r="MP48" s="945"/>
      <c r="MQ48" s="945"/>
      <c r="MR48" s="945"/>
      <c r="MS48" s="945"/>
      <c r="MT48" s="945"/>
      <c r="MU48" s="945"/>
      <c r="MV48" s="945"/>
      <c r="MW48" s="945"/>
      <c r="MX48" s="945"/>
      <c r="MY48" s="945"/>
      <c r="MZ48" s="945"/>
      <c r="NA48" s="945"/>
      <c r="NB48" s="945"/>
      <c r="NC48" s="945"/>
      <c r="ND48" s="945"/>
      <c r="NE48" s="945"/>
      <c r="NF48" s="945"/>
      <c r="NG48" s="945"/>
      <c r="NH48" s="945"/>
      <c r="NI48" s="945"/>
      <c r="NJ48" s="945"/>
      <c r="NK48" s="945"/>
      <c r="NL48" s="945"/>
      <c r="NM48" s="945"/>
      <c r="NN48" s="945"/>
      <c r="NO48" s="945"/>
      <c r="NP48" s="945"/>
      <c r="NQ48" s="945"/>
      <c r="NR48" s="945"/>
      <c r="NS48" s="945"/>
      <c r="NT48" s="945"/>
      <c r="NU48" s="945"/>
      <c r="NV48" s="945"/>
      <c r="NW48" s="945"/>
      <c r="NX48" s="945"/>
      <c r="NY48" s="945"/>
      <c r="NZ48" s="945"/>
      <c r="OA48" s="945"/>
      <c r="OB48" s="945"/>
      <c r="OC48" s="945"/>
      <c r="OD48" s="945"/>
      <c r="OE48" s="945"/>
      <c r="OF48" s="945"/>
      <c r="OG48" s="945"/>
      <c r="OH48" s="945"/>
      <c r="OI48" s="945"/>
      <c r="OJ48" s="945"/>
      <c r="OK48" s="945"/>
      <c r="OL48" s="945"/>
      <c r="OM48" s="945"/>
      <c r="ON48" s="945"/>
      <c r="OO48" s="945"/>
      <c r="OP48" s="945"/>
      <c r="OQ48" s="945"/>
      <c r="OR48" s="945"/>
      <c r="OS48" s="945"/>
      <c r="OT48" s="945"/>
      <c r="OU48" s="945"/>
      <c r="OV48" s="945"/>
      <c r="OW48" s="945"/>
      <c r="OX48" s="945"/>
      <c r="OY48" s="945"/>
      <c r="OZ48" s="945"/>
      <c r="PA48" s="945"/>
      <c r="PB48" s="945"/>
      <c r="PC48" s="945"/>
      <c r="PD48" s="945"/>
      <c r="PE48" s="945"/>
      <c r="PF48" s="945"/>
      <c r="PG48" s="945"/>
      <c r="PH48" s="945"/>
      <c r="PI48" s="945"/>
      <c r="PJ48" s="945"/>
      <c r="PK48" s="945"/>
      <c r="PL48" s="945"/>
      <c r="PM48" s="945"/>
      <c r="PN48" s="945"/>
      <c r="PO48" s="945"/>
    </row>
    <row r="49" spans="3:12" s="165" customFormat="1">
      <c r="C49" s="948"/>
      <c r="D49" s="948"/>
      <c r="E49" s="948"/>
      <c r="F49" s="948"/>
      <c r="G49" s="948"/>
      <c r="H49" s="948"/>
      <c r="I49" s="948"/>
      <c r="J49" s="948"/>
      <c r="K49" s="948"/>
      <c r="L49" s="948"/>
    </row>
    <row r="50" spans="3:12" s="165" customFormat="1">
      <c r="C50" s="948"/>
      <c r="D50" s="948"/>
      <c r="E50" s="948"/>
      <c r="F50" s="948"/>
      <c r="G50" s="948"/>
      <c r="H50" s="948"/>
      <c r="I50" s="948"/>
      <c r="J50" s="948"/>
      <c r="K50" s="948"/>
      <c r="L50" s="948"/>
    </row>
    <row r="51" spans="3:12" s="165" customFormat="1">
      <c r="C51" s="948"/>
      <c r="D51" s="948"/>
      <c r="E51" s="948"/>
      <c r="F51" s="948"/>
      <c r="G51" s="948"/>
      <c r="H51" s="948"/>
      <c r="I51" s="948"/>
      <c r="J51" s="948"/>
      <c r="K51" s="948"/>
      <c r="L51" s="948"/>
    </row>
    <row r="52" spans="3:12" s="165" customFormat="1">
      <c r="C52" s="948"/>
      <c r="D52" s="948"/>
      <c r="E52" s="948"/>
      <c r="F52" s="948"/>
      <c r="G52" s="948"/>
      <c r="H52" s="948"/>
      <c r="I52" s="948"/>
      <c r="J52" s="948"/>
      <c r="K52" s="948"/>
      <c r="L52" s="948"/>
    </row>
    <row r="53" spans="3:12" s="165" customFormat="1">
      <c r="C53" s="948"/>
      <c r="D53" s="948"/>
      <c r="E53" s="948"/>
      <c r="F53" s="948"/>
      <c r="G53" s="948"/>
      <c r="H53" s="948"/>
      <c r="I53" s="948"/>
      <c r="J53" s="948"/>
      <c r="K53" s="948"/>
      <c r="L53" s="948"/>
    </row>
    <row r="54" spans="3:12" s="165" customFormat="1">
      <c r="C54" s="948"/>
      <c r="D54" s="948"/>
      <c r="E54" s="948"/>
      <c r="F54" s="948"/>
      <c r="G54" s="948"/>
      <c r="H54" s="948"/>
      <c r="I54" s="948"/>
      <c r="J54" s="948"/>
      <c r="K54" s="948"/>
      <c r="L54" s="948"/>
    </row>
    <row r="55" spans="3:12" s="165" customFormat="1">
      <c r="C55" s="948"/>
      <c r="D55" s="948"/>
      <c r="E55" s="948"/>
      <c r="F55" s="948"/>
      <c r="G55" s="948"/>
      <c r="H55" s="948"/>
      <c r="I55" s="948"/>
      <c r="J55" s="948"/>
      <c r="K55" s="948"/>
      <c r="L55" s="948"/>
    </row>
    <row r="56" spans="3:12" s="165" customFormat="1">
      <c r="C56" s="948"/>
      <c r="D56" s="948"/>
      <c r="E56" s="948"/>
      <c r="F56" s="948"/>
      <c r="G56" s="948"/>
      <c r="H56" s="948"/>
      <c r="I56" s="948"/>
      <c r="J56" s="948"/>
      <c r="K56" s="948"/>
      <c r="L56" s="948"/>
    </row>
    <row r="57" spans="3:12" s="165" customFormat="1">
      <c r="C57" s="948"/>
      <c r="D57" s="948"/>
      <c r="E57" s="948"/>
      <c r="F57" s="948"/>
      <c r="G57" s="948"/>
      <c r="H57" s="948"/>
      <c r="I57" s="948"/>
      <c r="J57" s="948"/>
      <c r="K57" s="948"/>
      <c r="L57" s="948"/>
    </row>
    <row r="58" spans="3:12" s="165" customFormat="1">
      <c r="C58" s="948"/>
      <c r="D58" s="948"/>
      <c r="E58" s="948"/>
      <c r="F58" s="948"/>
      <c r="G58" s="948"/>
      <c r="H58" s="948"/>
      <c r="I58" s="948"/>
      <c r="J58" s="948"/>
      <c r="K58" s="948"/>
      <c r="L58" s="948"/>
    </row>
    <row r="59" spans="3:12" s="165" customFormat="1">
      <c r="C59" s="948"/>
      <c r="D59" s="948"/>
      <c r="E59" s="948"/>
      <c r="F59" s="948"/>
      <c r="G59" s="948"/>
      <c r="H59" s="948"/>
      <c r="I59" s="948"/>
      <c r="J59" s="948"/>
      <c r="K59" s="948"/>
      <c r="L59" s="948"/>
    </row>
    <row r="60" spans="3:12" s="165" customFormat="1">
      <c r="C60" s="948"/>
      <c r="D60" s="948"/>
      <c r="E60" s="948"/>
      <c r="F60" s="948"/>
      <c r="G60" s="948"/>
      <c r="H60" s="948"/>
      <c r="I60" s="948"/>
      <c r="J60" s="948"/>
      <c r="K60" s="948"/>
      <c r="L60" s="948"/>
    </row>
    <row r="61" spans="3:12" s="165" customFormat="1">
      <c r="C61" s="948"/>
      <c r="D61" s="948"/>
      <c r="E61" s="948"/>
      <c r="F61" s="948"/>
      <c r="G61" s="948"/>
      <c r="H61" s="948"/>
      <c r="I61" s="948"/>
      <c r="J61" s="948"/>
      <c r="K61" s="948"/>
      <c r="L61" s="948"/>
    </row>
    <row r="62" spans="3:12" s="165" customFormat="1">
      <c r="C62" s="948"/>
      <c r="D62" s="948"/>
      <c r="E62" s="948"/>
      <c r="F62" s="948"/>
      <c r="G62" s="948"/>
      <c r="H62" s="948"/>
      <c r="I62" s="948"/>
      <c r="J62" s="948"/>
      <c r="K62" s="948"/>
      <c r="L62" s="948"/>
    </row>
    <row r="63" spans="3:12" s="165" customFormat="1">
      <c r="C63" s="948"/>
      <c r="D63" s="948"/>
      <c r="E63" s="948"/>
      <c r="F63" s="948"/>
      <c r="G63" s="948"/>
      <c r="H63" s="948"/>
      <c r="I63" s="948"/>
      <c r="J63" s="948"/>
      <c r="K63" s="948"/>
      <c r="L63" s="948"/>
    </row>
    <row r="64" spans="3:12" s="165" customFormat="1">
      <c r="C64" s="948"/>
      <c r="D64" s="948"/>
      <c r="E64" s="948"/>
      <c r="F64" s="948"/>
      <c r="G64" s="948"/>
      <c r="H64" s="948"/>
      <c r="I64" s="948"/>
      <c r="J64" s="948"/>
      <c r="K64" s="948"/>
      <c r="L64" s="948"/>
    </row>
    <row r="65" spans="3:12" s="165" customFormat="1">
      <c r="C65" s="948"/>
      <c r="D65" s="948"/>
      <c r="E65" s="948"/>
      <c r="F65" s="948"/>
      <c r="G65" s="948"/>
      <c r="H65" s="948"/>
      <c r="I65" s="948"/>
      <c r="J65" s="948"/>
      <c r="K65" s="948"/>
      <c r="L65" s="948"/>
    </row>
    <row r="66" spans="3:12" s="165" customFormat="1">
      <c r="C66" s="948"/>
      <c r="D66" s="948"/>
      <c r="E66" s="948"/>
      <c r="F66" s="948"/>
      <c r="G66" s="948"/>
      <c r="H66" s="948"/>
      <c r="I66" s="948"/>
      <c r="J66" s="948"/>
      <c r="K66" s="948"/>
      <c r="L66" s="948"/>
    </row>
    <row r="67" spans="3:12" s="165" customFormat="1">
      <c r="C67" s="948"/>
      <c r="D67" s="948"/>
      <c r="E67" s="948"/>
      <c r="F67" s="948"/>
      <c r="G67" s="948"/>
      <c r="H67" s="948"/>
      <c r="I67" s="948"/>
      <c r="J67" s="948"/>
      <c r="K67" s="948"/>
      <c r="L67" s="948"/>
    </row>
    <row r="68" spans="3:12" s="165" customFormat="1">
      <c r="C68" s="948"/>
      <c r="D68" s="948"/>
      <c r="E68" s="948"/>
      <c r="F68" s="948"/>
      <c r="G68" s="948"/>
      <c r="H68" s="948"/>
      <c r="I68" s="948"/>
      <c r="J68" s="948"/>
      <c r="K68" s="948"/>
      <c r="L68" s="948"/>
    </row>
    <row r="69" spans="3:12" s="165" customFormat="1">
      <c r="C69" s="948"/>
      <c r="D69" s="948"/>
      <c r="E69" s="948"/>
      <c r="F69" s="948"/>
      <c r="G69" s="948"/>
      <c r="H69" s="948"/>
      <c r="I69" s="948"/>
      <c r="J69" s="948"/>
      <c r="K69" s="948"/>
      <c r="L69" s="948"/>
    </row>
    <row r="70" spans="3:12" s="165" customFormat="1">
      <c r="C70" s="948"/>
      <c r="D70" s="948"/>
      <c r="E70" s="948"/>
      <c r="F70" s="948"/>
      <c r="G70" s="948"/>
      <c r="H70" s="948"/>
      <c r="I70" s="948"/>
      <c r="J70" s="948"/>
      <c r="K70" s="948"/>
      <c r="L70" s="948"/>
    </row>
    <row r="71" spans="3:12" s="165" customFormat="1">
      <c r="C71" s="948"/>
      <c r="D71" s="948"/>
      <c r="E71" s="948"/>
      <c r="F71" s="948"/>
      <c r="G71" s="948"/>
      <c r="H71" s="948"/>
      <c r="I71" s="948"/>
      <c r="J71" s="948"/>
      <c r="K71" s="948"/>
      <c r="L71" s="948"/>
    </row>
    <row r="72" spans="3:12" s="165" customFormat="1">
      <c r="C72" s="948"/>
      <c r="D72" s="948"/>
      <c r="E72" s="948"/>
      <c r="F72" s="948"/>
      <c r="G72" s="948"/>
      <c r="H72" s="948"/>
      <c r="I72" s="948"/>
      <c r="J72" s="948"/>
      <c r="K72" s="948"/>
      <c r="L72" s="948"/>
    </row>
    <row r="73" spans="3:12" s="165" customFormat="1">
      <c r="C73" s="948"/>
      <c r="D73" s="948"/>
      <c r="E73" s="948"/>
      <c r="F73" s="948"/>
      <c r="G73" s="948"/>
      <c r="H73" s="948"/>
      <c r="I73" s="948"/>
      <c r="J73" s="948"/>
      <c r="K73" s="948"/>
      <c r="L73" s="948"/>
    </row>
    <row r="74" spans="3:12" s="165" customFormat="1">
      <c r="C74" s="948"/>
      <c r="D74" s="948"/>
      <c r="E74" s="948"/>
      <c r="F74" s="948"/>
      <c r="G74" s="948"/>
      <c r="H74" s="948"/>
      <c r="I74" s="948"/>
      <c r="J74" s="948"/>
      <c r="K74" s="948"/>
      <c r="L74" s="948"/>
    </row>
    <row r="75" spans="3:12" s="165" customFormat="1">
      <c r="C75" s="948"/>
      <c r="D75" s="948"/>
      <c r="E75" s="948"/>
      <c r="F75" s="948"/>
      <c r="G75" s="948"/>
      <c r="H75" s="948"/>
      <c r="I75" s="948"/>
      <c r="J75" s="948"/>
      <c r="K75" s="948"/>
      <c r="L75" s="948"/>
    </row>
    <row r="76" spans="3:12" s="165" customFormat="1">
      <c r="C76" s="948"/>
      <c r="D76" s="948"/>
      <c r="E76" s="948"/>
      <c r="F76" s="948"/>
      <c r="G76" s="948"/>
      <c r="H76" s="948"/>
      <c r="I76" s="948"/>
      <c r="J76" s="948"/>
      <c r="K76" s="948"/>
      <c r="L76" s="948"/>
    </row>
    <row r="77" spans="3:12" s="165" customFormat="1">
      <c r="C77" s="948"/>
      <c r="D77" s="948"/>
      <c r="E77" s="948"/>
      <c r="F77" s="948"/>
      <c r="G77" s="948"/>
      <c r="H77" s="948"/>
      <c r="I77" s="948"/>
      <c r="J77" s="948"/>
      <c r="K77" s="948"/>
      <c r="L77" s="948"/>
    </row>
    <row r="78" spans="3:12" s="165" customFormat="1">
      <c r="C78" s="948"/>
      <c r="D78" s="948"/>
      <c r="E78" s="948"/>
      <c r="F78" s="948"/>
      <c r="G78" s="948"/>
      <c r="H78" s="948"/>
      <c r="I78" s="948"/>
      <c r="J78" s="948"/>
      <c r="K78" s="948"/>
      <c r="L78" s="948"/>
    </row>
    <row r="79" spans="3:12" s="165" customFormat="1">
      <c r="C79" s="948"/>
      <c r="D79" s="948"/>
      <c r="E79" s="948"/>
      <c r="F79" s="948"/>
      <c r="G79" s="948"/>
      <c r="H79" s="948"/>
      <c r="I79" s="948"/>
      <c r="J79" s="948"/>
      <c r="K79" s="948"/>
      <c r="L79" s="948"/>
    </row>
    <row r="80" spans="3:12" s="165" customFormat="1">
      <c r="C80" s="948"/>
      <c r="D80" s="948"/>
      <c r="E80" s="948"/>
      <c r="F80" s="948"/>
      <c r="G80" s="948"/>
      <c r="H80" s="948"/>
      <c r="I80" s="948"/>
      <c r="J80" s="948"/>
      <c r="K80" s="948"/>
      <c r="L80" s="948"/>
    </row>
    <row r="81" spans="3:12" s="165" customFormat="1">
      <c r="C81" s="948"/>
      <c r="D81" s="948"/>
      <c r="E81" s="948"/>
      <c r="F81" s="948"/>
      <c r="G81" s="948"/>
      <c r="H81" s="948"/>
      <c r="I81" s="948"/>
      <c r="J81" s="948"/>
      <c r="K81" s="948"/>
      <c r="L81" s="948"/>
    </row>
    <row r="82" spans="3:12" s="165" customFormat="1">
      <c r="C82" s="948"/>
      <c r="D82" s="948"/>
      <c r="E82" s="948"/>
      <c r="F82" s="948"/>
      <c r="G82" s="948"/>
      <c r="H82" s="948"/>
      <c r="I82" s="948"/>
      <c r="J82" s="948"/>
      <c r="K82" s="948"/>
      <c r="L82" s="948"/>
    </row>
    <row r="83" spans="3:12" s="165" customFormat="1">
      <c r="C83" s="948"/>
      <c r="D83" s="948"/>
      <c r="E83" s="948"/>
      <c r="F83" s="948"/>
      <c r="G83" s="948"/>
      <c r="H83" s="948"/>
      <c r="I83" s="948"/>
      <c r="J83" s="948"/>
      <c r="K83" s="948"/>
      <c r="L83" s="948"/>
    </row>
    <row r="84" spans="3:12" s="165" customFormat="1">
      <c r="C84" s="948"/>
      <c r="D84" s="948"/>
      <c r="E84" s="948"/>
      <c r="F84" s="948"/>
      <c r="G84" s="948"/>
      <c r="H84" s="948"/>
      <c r="I84" s="948"/>
      <c r="J84" s="948"/>
      <c r="K84" s="948"/>
      <c r="L84" s="948"/>
    </row>
    <row r="85" spans="3:12" s="165" customFormat="1">
      <c r="C85" s="948"/>
      <c r="D85" s="948"/>
      <c r="E85" s="948"/>
      <c r="F85" s="948"/>
      <c r="G85" s="948"/>
      <c r="H85" s="948"/>
      <c r="I85" s="948"/>
      <c r="J85" s="948"/>
      <c r="K85" s="948"/>
      <c r="L85" s="948"/>
    </row>
    <row r="86" spans="3:12" s="165" customFormat="1">
      <c r="C86" s="948"/>
      <c r="D86" s="948"/>
      <c r="E86" s="948"/>
      <c r="F86" s="948"/>
      <c r="G86" s="948"/>
      <c r="H86" s="948"/>
      <c r="I86" s="948"/>
      <c r="J86" s="948"/>
      <c r="K86" s="948"/>
      <c r="L86" s="948"/>
    </row>
    <row r="87" spans="3:12" s="165" customFormat="1">
      <c r="C87" s="948"/>
      <c r="D87" s="948"/>
      <c r="E87" s="948"/>
      <c r="F87" s="948"/>
      <c r="G87" s="948"/>
      <c r="H87" s="948"/>
      <c r="I87" s="948"/>
      <c r="J87" s="948"/>
      <c r="K87" s="948"/>
      <c r="L87" s="948"/>
    </row>
    <row r="88" spans="3:12" s="165" customFormat="1">
      <c r="C88" s="948"/>
      <c r="D88" s="948"/>
      <c r="E88" s="948"/>
      <c r="F88" s="948"/>
      <c r="G88" s="948"/>
      <c r="H88" s="948"/>
      <c r="I88" s="948"/>
      <c r="J88" s="948"/>
      <c r="K88" s="948"/>
      <c r="L88" s="948"/>
    </row>
    <row r="89" spans="3:12" s="165" customFormat="1">
      <c r="C89" s="948"/>
      <c r="D89" s="948"/>
      <c r="E89" s="948"/>
      <c r="F89" s="948"/>
      <c r="G89" s="948"/>
      <c r="H89" s="948"/>
      <c r="I89" s="948"/>
      <c r="J89" s="948"/>
      <c r="K89" s="948"/>
      <c r="L89" s="948"/>
    </row>
    <row r="90" spans="3:12" s="165" customFormat="1">
      <c r="C90" s="948"/>
      <c r="D90" s="948"/>
      <c r="E90" s="948"/>
      <c r="F90" s="948"/>
      <c r="G90" s="948"/>
      <c r="H90" s="948"/>
      <c r="I90" s="948"/>
      <c r="J90" s="948"/>
      <c r="K90" s="948"/>
      <c r="L90" s="948"/>
    </row>
    <row r="91" spans="3:12" s="165" customFormat="1">
      <c r="C91" s="948"/>
      <c r="D91" s="948"/>
      <c r="E91" s="948"/>
      <c r="F91" s="948"/>
      <c r="G91" s="948"/>
      <c r="H91" s="948"/>
      <c r="I91" s="948"/>
      <c r="J91" s="948"/>
      <c r="K91" s="948"/>
      <c r="L91" s="948"/>
    </row>
    <row r="92" spans="3:12" s="165" customFormat="1">
      <c r="C92" s="948"/>
      <c r="D92" s="948"/>
      <c r="E92" s="948"/>
      <c r="F92" s="948"/>
      <c r="G92" s="948"/>
      <c r="H92" s="948"/>
      <c r="I92" s="948"/>
      <c r="J92" s="948"/>
      <c r="K92" s="948"/>
      <c r="L92" s="948"/>
    </row>
    <row r="93" spans="3:12" s="165" customFormat="1">
      <c r="C93" s="948"/>
      <c r="D93" s="948"/>
      <c r="E93" s="948"/>
      <c r="F93" s="948"/>
      <c r="G93" s="948"/>
      <c r="H93" s="948"/>
      <c r="I93" s="948"/>
      <c r="J93" s="948"/>
      <c r="K93" s="948"/>
      <c r="L93" s="948"/>
    </row>
    <row r="94" spans="3:12" s="165" customFormat="1">
      <c r="C94" s="948"/>
      <c r="D94" s="948"/>
      <c r="E94" s="948"/>
      <c r="F94" s="948"/>
      <c r="G94" s="948"/>
      <c r="H94" s="948"/>
      <c r="I94" s="948"/>
      <c r="J94" s="948"/>
      <c r="K94" s="948"/>
      <c r="L94" s="948"/>
    </row>
    <row r="95" spans="3:12" s="165" customFormat="1">
      <c r="C95" s="948"/>
      <c r="D95" s="948"/>
      <c r="E95" s="948"/>
      <c r="F95" s="948"/>
      <c r="G95" s="948"/>
      <c r="H95" s="948"/>
      <c r="I95" s="948"/>
      <c r="J95" s="948"/>
      <c r="K95" s="948"/>
      <c r="L95" s="948"/>
    </row>
    <row r="96" spans="3:12" s="165" customFormat="1">
      <c r="C96" s="948"/>
      <c r="D96" s="948"/>
      <c r="E96" s="948"/>
      <c r="F96" s="948"/>
      <c r="G96" s="948"/>
      <c r="H96" s="948"/>
      <c r="I96" s="948"/>
      <c r="J96" s="948"/>
      <c r="K96" s="948"/>
      <c r="L96" s="948"/>
    </row>
    <row r="97" spans="3:12" s="165" customFormat="1">
      <c r="C97" s="948"/>
      <c r="D97" s="948"/>
      <c r="E97" s="948"/>
      <c r="F97" s="948"/>
      <c r="G97" s="948"/>
      <c r="H97" s="948"/>
      <c r="I97" s="948"/>
      <c r="J97" s="948"/>
      <c r="K97" s="948"/>
      <c r="L97" s="948"/>
    </row>
    <row r="98" spans="3:12" s="165" customFormat="1">
      <c r="C98" s="948"/>
      <c r="D98" s="948"/>
      <c r="E98" s="948"/>
      <c r="F98" s="948"/>
      <c r="G98" s="948"/>
      <c r="H98" s="948"/>
      <c r="I98" s="948"/>
      <c r="J98" s="948"/>
      <c r="K98" s="948"/>
      <c r="L98" s="948"/>
    </row>
    <row r="99" spans="3:12" s="165" customFormat="1">
      <c r="C99" s="948"/>
      <c r="D99" s="948"/>
      <c r="E99" s="948"/>
      <c r="F99" s="948"/>
      <c r="G99" s="948"/>
      <c r="H99" s="948"/>
      <c r="I99" s="948"/>
      <c r="J99" s="948"/>
      <c r="K99" s="948"/>
      <c r="L99" s="948"/>
    </row>
    <row r="100" spans="3:12" s="165" customFormat="1">
      <c r="C100" s="948"/>
      <c r="D100" s="948"/>
      <c r="E100" s="948"/>
      <c r="F100" s="948"/>
      <c r="G100" s="948"/>
      <c r="H100" s="948"/>
      <c r="I100" s="948"/>
      <c r="J100" s="948"/>
      <c r="K100" s="948"/>
      <c r="L100" s="948"/>
    </row>
    <row r="101" spans="3:12" s="165" customFormat="1">
      <c r="C101" s="948"/>
      <c r="D101" s="948"/>
      <c r="E101" s="948"/>
      <c r="F101" s="948"/>
      <c r="G101" s="948"/>
      <c r="H101" s="948"/>
      <c r="I101" s="948"/>
      <c r="J101" s="948"/>
      <c r="K101" s="948"/>
      <c r="L101" s="948"/>
    </row>
    <row r="102" spans="3:12" s="165" customFormat="1">
      <c r="C102" s="948"/>
      <c r="D102" s="948"/>
      <c r="E102" s="948"/>
      <c r="F102" s="948"/>
      <c r="G102" s="948"/>
      <c r="H102" s="948"/>
      <c r="I102" s="948"/>
      <c r="J102" s="948"/>
      <c r="K102" s="948"/>
      <c r="L102" s="948"/>
    </row>
    <row r="103" spans="3:12" s="165" customFormat="1">
      <c r="C103" s="948"/>
      <c r="D103" s="948"/>
      <c r="E103" s="948"/>
      <c r="F103" s="948"/>
      <c r="G103" s="948"/>
      <c r="H103" s="948"/>
      <c r="I103" s="948"/>
      <c r="J103" s="948"/>
      <c r="K103" s="948"/>
      <c r="L103" s="948"/>
    </row>
    <row r="104" spans="3:12" s="165" customFormat="1">
      <c r="C104" s="948"/>
      <c r="D104" s="948"/>
      <c r="E104" s="948"/>
      <c r="F104" s="948"/>
      <c r="G104" s="948"/>
      <c r="H104" s="948"/>
      <c r="I104" s="948"/>
      <c r="J104" s="948"/>
      <c r="K104" s="948"/>
      <c r="L104" s="948"/>
    </row>
    <row r="105" spans="3:12" s="165" customFormat="1">
      <c r="C105" s="948"/>
      <c r="D105" s="948"/>
      <c r="E105" s="948"/>
      <c r="F105" s="948"/>
      <c r="G105" s="948"/>
      <c r="H105" s="948"/>
      <c r="I105" s="948"/>
      <c r="J105" s="948"/>
      <c r="K105" s="948"/>
      <c r="L105" s="948"/>
    </row>
    <row r="106" spans="3:12" s="165" customFormat="1">
      <c r="C106" s="948"/>
      <c r="D106" s="948"/>
      <c r="E106" s="948"/>
      <c r="F106" s="948"/>
      <c r="G106" s="948"/>
      <c r="H106" s="948"/>
      <c r="I106" s="948"/>
      <c r="J106" s="948"/>
      <c r="K106" s="948"/>
      <c r="L106" s="948"/>
    </row>
    <row r="107" spans="3:12" s="165" customFormat="1">
      <c r="C107" s="948"/>
      <c r="D107" s="948"/>
      <c r="E107" s="948"/>
      <c r="F107" s="948"/>
      <c r="G107" s="948"/>
      <c r="H107" s="948"/>
      <c r="I107" s="948"/>
      <c r="J107" s="948"/>
      <c r="K107" s="948"/>
      <c r="L107" s="948"/>
    </row>
    <row r="108" spans="3:12" s="165" customFormat="1">
      <c r="C108" s="948"/>
      <c r="D108" s="948"/>
      <c r="E108" s="948"/>
      <c r="F108" s="948"/>
      <c r="G108" s="948"/>
      <c r="H108" s="948"/>
      <c r="I108" s="948"/>
      <c r="J108" s="948"/>
      <c r="K108" s="948"/>
      <c r="L108" s="948"/>
    </row>
    <row r="109" spans="3:12" s="165" customFormat="1">
      <c r="C109" s="948"/>
      <c r="D109" s="948"/>
      <c r="E109" s="948"/>
      <c r="F109" s="948"/>
      <c r="G109" s="948"/>
      <c r="H109" s="948"/>
      <c r="I109" s="948"/>
      <c r="J109" s="948"/>
      <c r="K109" s="948"/>
      <c r="L109" s="948"/>
    </row>
    <row r="110" spans="3:12" s="165" customFormat="1">
      <c r="C110" s="948"/>
      <c r="D110" s="948"/>
      <c r="E110" s="948"/>
      <c r="F110" s="948"/>
      <c r="G110" s="948"/>
      <c r="H110" s="948"/>
      <c r="I110" s="948"/>
      <c r="J110" s="948"/>
      <c r="K110" s="948"/>
      <c r="L110" s="948"/>
    </row>
    <row r="111" spans="3:12" s="165" customFormat="1">
      <c r="C111" s="948"/>
      <c r="D111" s="948"/>
      <c r="E111" s="948"/>
      <c r="F111" s="948"/>
      <c r="G111" s="948"/>
      <c r="H111" s="948"/>
      <c r="I111" s="948"/>
      <c r="J111" s="948"/>
      <c r="K111" s="948"/>
      <c r="L111" s="948"/>
    </row>
    <row r="112" spans="3:12" s="165" customFormat="1">
      <c r="C112" s="948"/>
      <c r="D112" s="948"/>
      <c r="E112" s="948"/>
      <c r="F112" s="948"/>
      <c r="G112" s="948"/>
      <c r="H112" s="948"/>
      <c r="I112" s="948"/>
      <c r="J112" s="948"/>
      <c r="K112" s="948"/>
      <c r="L112" s="948"/>
    </row>
    <row r="113" spans="3:12" s="165" customFormat="1">
      <c r="C113" s="948"/>
      <c r="D113" s="948"/>
      <c r="E113" s="948"/>
      <c r="F113" s="948"/>
      <c r="G113" s="948"/>
      <c r="H113" s="948"/>
      <c r="I113" s="948"/>
      <c r="J113" s="948"/>
      <c r="K113" s="948"/>
      <c r="L113" s="948"/>
    </row>
    <row r="114" spans="3:12" s="165" customFormat="1">
      <c r="C114" s="948"/>
      <c r="D114" s="948"/>
      <c r="E114" s="948"/>
      <c r="F114" s="948"/>
      <c r="G114" s="948"/>
      <c r="H114" s="948"/>
      <c r="I114" s="948"/>
      <c r="J114" s="948"/>
      <c r="K114" s="948"/>
      <c r="L114" s="948"/>
    </row>
    <row r="115" spans="3:12" s="165" customFormat="1">
      <c r="C115" s="948"/>
      <c r="D115" s="948"/>
      <c r="E115" s="948"/>
      <c r="F115" s="948"/>
      <c r="G115" s="948"/>
      <c r="H115" s="948"/>
      <c r="I115" s="948"/>
      <c r="J115" s="948"/>
      <c r="K115" s="948"/>
      <c r="L115" s="948"/>
    </row>
    <row r="116" spans="3:12" s="165" customFormat="1">
      <c r="C116" s="948"/>
      <c r="D116" s="948"/>
      <c r="E116" s="948"/>
      <c r="F116" s="948"/>
      <c r="G116" s="948"/>
      <c r="H116" s="948"/>
      <c r="I116" s="948"/>
      <c r="J116" s="948"/>
      <c r="K116" s="948"/>
      <c r="L116" s="948"/>
    </row>
    <row r="117" spans="3:12" s="165" customFormat="1">
      <c r="C117" s="948"/>
      <c r="D117" s="948"/>
      <c r="E117" s="948"/>
      <c r="F117" s="948"/>
      <c r="G117" s="948"/>
      <c r="H117" s="948"/>
      <c r="I117" s="948"/>
      <c r="J117" s="948"/>
      <c r="K117" s="948"/>
      <c r="L117" s="948"/>
    </row>
    <row r="118" spans="3:12" s="165" customFormat="1">
      <c r="C118" s="948"/>
      <c r="D118" s="948"/>
      <c r="E118" s="948"/>
      <c r="F118" s="948"/>
      <c r="G118" s="948"/>
      <c r="H118" s="948"/>
      <c r="I118" s="948"/>
      <c r="J118" s="948"/>
      <c r="K118" s="948"/>
      <c r="L118" s="948"/>
    </row>
    <row r="119" spans="3:12" s="165" customFormat="1">
      <c r="C119" s="948"/>
      <c r="D119" s="948"/>
      <c r="E119" s="948"/>
      <c r="F119" s="948"/>
      <c r="G119" s="948"/>
      <c r="H119" s="948"/>
      <c r="I119" s="948"/>
      <c r="J119" s="948"/>
      <c r="K119" s="948"/>
      <c r="L119" s="948"/>
    </row>
    <row r="120" spans="3:12" s="165" customFormat="1">
      <c r="C120" s="948"/>
      <c r="D120" s="948"/>
      <c r="E120" s="948"/>
      <c r="F120" s="948"/>
      <c r="G120" s="948"/>
      <c r="H120" s="948"/>
      <c r="I120" s="948"/>
      <c r="J120" s="948"/>
      <c r="K120" s="948"/>
      <c r="L120" s="948"/>
    </row>
    <row r="121" spans="3:12" s="165" customFormat="1">
      <c r="C121" s="948"/>
      <c r="D121" s="948"/>
      <c r="E121" s="948"/>
      <c r="F121" s="948"/>
      <c r="G121" s="948"/>
      <c r="H121" s="948"/>
      <c r="I121" s="948"/>
      <c r="J121" s="948"/>
      <c r="K121" s="948"/>
      <c r="L121" s="948"/>
    </row>
    <row r="122" spans="3:12" s="165" customFormat="1">
      <c r="C122" s="948"/>
      <c r="D122" s="948"/>
      <c r="E122" s="948"/>
      <c r="F122" s="948"/>
      <c r="G122" s="948"/>
      <c r="H122" s="948"/>
      <c r="I122" s="948"/>
      <c r="J122" s="948"/>
      <c r="K122" s="948"/>
      <c r="L122" s="948"/>
    </row>
    <row r="123" spans="3:12" s="165" customFormat="1">
      <c r="C123" s="948"/>
      <c r="D123" s="948"/>
      <c r="E123" s="948"/>
      <c r="F123" s="948"/>
      <c r="G123" s="948"/>
      <c r="H123" s="948"/>
      <c r="I123" s="948"/>
      <c r="J123" s="948"/>
      <c r="K123" s="948"/>
      <c r="L123" s="948"/>
    </row>
    <row r="124" spans="3:12" s="165" customFormat="1">
      <c r="C124" s="948"/>
      <c r="D124" s="948"/>
      <c r="E124" s="948"/>
      <c r="F124" s="948"/>
      <c r="G124" s="948"/>
      <c r="H124" s="948"/>
      <c r="I124" s="948"/>
      <c r="J124" s="948"/>
      <c r="K124" s="948"/>
      <c r="L124" s="948"/>
    </row>
    <row r="125" spans="3:12" s="165" customFormat="1">
      <c r="C125" s="948"/>
      <c r="D125" s="948"/>
      <c r="E125" s="948"/>
      <c r="F125" s="948"/>
      <c r="G125" s="948"/>
      <c r="H125" s="948"/>
      <c r="I125" s="948"/>
      <c r="J125" s="948"/>
      <c r="K125" s="948"/>
      <c r="L125" s="948"/>
    </row>
    <row r="126" spans="3:12" s="165" customFormat="1">
      <c r="C126" s="948"/>
      <c r="D126" s="948"/>
      <c r="E126" s="948"/>
      <c r="F126" s="948"/>
      <c r="G126" s="948"/>
      <c r="H126" s="948"/>
      <c r="I126" s="948"/>
      <c r="J126" s="948"/>
      <c r="K126" s="948"/>
      <c r="L126" s="948"/>
    </row>
    <row r="127" spans="3:12" s="165" customFormat="1">
      <c r="C127" s="948"/>
      <c r="D127" s="948"/>
      <c r="E127" s="948"/>
      <c r="F127" s="948"/>
      <c r="G127" s="948"/>
      <c r="H127" s="948"/>
      <c r="I127" s="948"/>
      <c r="J127" s="948"/>
      <c r="K127" s="948"/>
      <c r="L127" s="948"/>
    </row>
    <row r="128" spans="3:12" s="165" customFormat="1">
      <c r="C128" s="948"/>
      <c r="D128" s="948"/>
      <c r="E128" s="948"/>
      <c r="F128" s="948"/>
      <c r="G128" s="948"/>
      <c r="H128" s="948"/>
      <c r="I128" s="948"/>
      <c r="J128" s="948"/>
      <c r="K128" s="948"/>
      <c r="L128" s="948"/>
    </row>
    <row r="129" spans="3:12" s="165" customFormat="1">
      <c r="C129" s="948"/>
      <c r="D129" s="948"/>
      <c r="E129" s="948"/>
      <c r="F129" s="948"/>
      <c r="G129" s="948"/>
      <c r="H129" s="948"/>
      <c r="I129" s="948"/>
      <c r="J129" s="948"/>
      <c r="K129" s="948"/>
      <c r="L129" s="948"/>
    </row>
    <row r="130" spans="3:12" s="165" customFormat="1">
      <c r="C130" s="948"/>
      <c r="D130" s="948"/>
      <c r="E130" s="948"/>
      <c r="F130" s="948"/>
      <c r="G130" s="948"/>
      <c r="H130" s="948"/>
      <c r="I130" s="948"/>
      <c r="J130" s="948"/>
      <c r="K130" s="948"/>
      <c r="L130" s="948"/>
    </row>
    <row r="131" spans="3:12" s="165" customFormat="1">
      <c r="C131" s="948"/>
      <c r="D131" s="948"/>
      <c r="E131" s="948"/>
      <c r="F131" s="948"/>
      <c r="G131" s="948"/>
      <c r="H131" s="948"/>
      <c r="I131" s="948"/>
      <c r="J131" s="948"/>
      <c r="K131" s="948"/>
      <c r="L131" s="948"/>
    </row>
    <row r="132" spans="3:12" s="165" customFormat="1">
      <c r="C132" s="948"/>
      <c r="D132" s="948"/>
      <c r="E132" s="948"/>
      <c r="F132" s="948"/>
      <c r="G132" s="948"/>
      <c r="H132" s="948"/>
      <c r="I132" s="948"/>
      <c r="J132" s="948"/>
      <c r="K132" s="948"/>
      <c r="L132" s="948"/>
    </row>
    <row r="133" spans="3:12" s="165" customFormat="1">
      <c r="C133" s="948"/>
      <c r="D133" s="948"/>
      <c r="E133" s="948"/>
      <c r="F133" s="948"/>
      <c r="G133" s="948"/>
      <c r="H133" s="948"/>
      <c r="I133" s="948"/>
      <c r="J133" s="948"/>
      <c r="K133" s="948"/>
      <c r="L133" s="948"/>
    </row>
    <row r="134" spans="3:12" s="165" customFormat="1">
      <c r="C134" s="948"/>
      <c r="D134" s="948"/>
      <c r="E134" s="948"/>
      <c r="F134" s="948"/>
      <c r="G134" s="948"/>
      <c r="H134" s="948"/>
      <c r="I134" s="948"/>
      <c r="J134" s="948"/>
      <c r="K134" s="948"/>
      <c r="L134" s="948"/>
    </row>
    <row r="135" spans="3:12" s="165" customFormat="1">
      <c r="C135" s="948"/>
      <c r="D135" s="948"/>
      <c r="E135" s="948"/>
      <c r="F135" s="948"/>
      <c r="G135" s="948"/>
      <c r="H135" s="948"/>
      <c r="I135" s="948"/>
      <c r="J135" s="948"/>
      <c r="K135" s="948"/>
      <c r="L135" s="948"/>
    </row>
    <row r="136" spans="3:12" s="165" customFormat="1">
      <c r="C136" s="948"/>
      <c r="D136" s="948"/>
      <c r="E136" s="948"/>
      <c r="F136" s="948"/>
      <c r="G136" s="948"/>
      <c r="H136" s="948"/>
      <c r="I136" s="948"/>
      <c r="J136" s="948"/>
      <c r="K136" s="948"/>
      <c r="L136" s="948"/>
    </row>
    <row r="137" spans="3:12" s="165" customFormat="1">
      <c r="C137" s="948"/>
      <c r="D137" s="948"/>
      <c r="E137" s="948"/>
      <c r="F137" s="948"/>
      <c r="G137" s="948"/>
      <c r="H137" s="948"/>
      <c r="I137" s="948"/>
      <c r="J137" s="948"/>
      <c r="K137" s="948"/>
      <c r="L137" s="948"/>
    </row>
    <row r="138" spans="3:12" s="165" customFormat="1">
      <c r="C138" s="948"/>
      <c r="D138" s="948"/>
      <c r="E138" s="948"/>
      <c r="F138" s="948"/>
      <c r="G138" s="948"/>
      <c r="H138" s="948"/>
      <c r="I138" s="948"/>
      <c r="J138" s="948"/>
      <c r="K138" s="948"/>
      <c r="L138" s="948"/>
    </row>
    <row r="139" spans="3:12" s="165" customFormat="1">
      <c r="C139" s="948"/>
      <c r="D139" s="948"/>
      <c r="E139" s="948"/>
      <c r="F139" s="948"/>
      <c r="G139" s="948"/>
      <c r="H139" s="948"/>
      <c r="I139" s="948"/>
      <c r="J139" s="948"/>
      <c r="K139" s="948"/>
      <c r="L139" s="948"/>
    </row>
    <row r="140" spans="3:12" s="165" customFormat="1">
      <c r="C140" s="948"/>
      <c r="D140" s="948"/>
      <c r="E140" s="948"/>
      <c r="F140" s="948"/>
      <c r="G140" s="948"/>
      <c r="H140" s="948"/>
      <c r="I140" s="948"/>
      <c r="J140" s="948"/>
      <c r="K140" s="948"/>
      <c r="L140" s="948"/>
    </row>
    <row r="141" spans="3:12" s="165" customFormat="1">
      <c r="C141" s="948"/>
      <c r="D141" s="948"/>
      <c r="E141" s="948"/>
      <c r="F141" s="948"/>
      <c r="G141" s="948"/>
      <c r="H141" s="948"/>
      <c r="I141" s="948"/>
      <c r="J141" s="948"/>
      <c r="K141" s="948"/>
      <c r="L141" s="948"/>
    </row>
    <row r="142" spans="3:12" s="165" customFormat="1">
      <c r="C142" s="948"/>
      <c r="D142" s="948"/>
      <c r="E142" s="948"/>
      <c r="F142" s="948"/>
      <c r="G142" s="948"/>
      <c r="H142" s="948"/>
      <c r="I142" s="948"/>
      <c r="J142" s="948"/>
      <c r="K142" s="948"/>
      <c r="L142" s="948"/>
    </row>
    <row r="143" spans="3:12" s="165" customFormat="1">
      <c r="C143" s="948"/>
      <c r="D143" s="948"/>
      <c r="E143" s="948"/>
      <c r="F143" s="948"/>
      <c r="G143" s="948"/>
      <c r="H143" s="948"/>
      <c r="I143" s="948"/>
      <c r="J143" s="948"/>
      <c r="K143" s="948"/>
      <c r="L143" s="948"/>
    </row>
    <row r="144" spans="3:12" s="165" customFormat="1">
      <c r="C144" s="948"/>
      <c r="D144" s="948"/>
      <c r="E144" s="948"/>
      <c r="F144" s="948"/>
      <c r="G144" s="948"/>
      <c r="H144" s="948"/>
      <c r="I144" s="948"/>
      <c r="J144" s="948"/>
      <c r="K144" s="948"/>
      <c r="L144" s="948"/>
    </row>
    <row r="145" spans="3:12" s="165" customFormat="1">
      <c r="C145" s="948"/>
      <c r="D145" s="948"/>
      <c r="E145" s="948"/>
      <c r="F145" s="948"/>
      <c r="G145" s="948"/>
      <c r="H145" s="948"/>
      <c r="I145" s="948"/>
      <c r="J145" s="948"/>
      <c r="K145" s="948"/>
      <c r="L145" s="948"/>
    </row>
    <row r="146" spans="3:12" s="165" customFormat="1">
      <c r="C146" s="948"/>
      <c r="D146" s="948"/>
      <c r="E146" s="948"/>
      <c r="F146" s="948"/>
      <c r="G146" s="948"/>
      <c r="H146" s="948"/>
      <c r="I146" s="948"/>
      <c r="J146" s="948"/>
      <c r="K146" s="948"/>
      <c r="L146" s="948"/>
    </row>
    <row r="147" spans="3:12" s="165" customFormat="1">
      <c r="C147" s="948"/>
      <c r="D147" s="948"/>
      <c r="E147" s="948"/>
      <c r="F147" s="948"/>
      <c r="G147" s="948"/>
      <c r="H147" s="948"/>
      <c r="I147" s="948"/>
      <c r="J147" s="948"/>
      <c r="K147" s="948"/>
      <c r="L147" s="948"/>
    </row>
    <row r="148" spans="3:12" s="165" customFormat="1">
      <c r="C148" s="948"/>
      <c r="D148" s="948"/>
      <c r="E148" s="948"/>
      <c r="F148" s="948"/>
      <c r="G148" s="948"/>
      <c r="H148" s="948"/>
      <c r="I148" s="948"/>
      <c r="J148" s="948"/>
      <c r="K148" s="948"/>
      <c r="L148" s="948"/>
    </row>
    <row r="149" spans="3:12" s="165" customFormat="1">
      <c r="C149" s="948"/>
      <c r="D149" s="948"/>
      <c r="E149" s="948"/>
      <c r="F149" s="948"/>
      <c r="G149" s="948"/>
      <c r="H149" s="948"/>
      <c r="I149" s="948"/>
      <c r="J149" s="948"/>
      <c r="K149" s="948"/>
      <c r="L149" s="948"/>
    </row>
    <row r="150" spans="3:12" s="165" customFormat="1">
      <c r="C150" s="948"/>
      <c r="D150" s="948"/>
      <c r="E150" s="948"/>
      <c r="F150" s="948"/>
      <c r="G150" s="948"/>
      <c r="H150" s="948"/>
      <c r="I150" s="948"/>
      <c r="J150" s="948"/>
      <c r="K150" s="948"/>
      <c r="L150" s="948"/>
    </row>
    <row r="151" spans="3:12" s="165" customFormat="1">
      <c r="C151" s="948"/>
      <c r="D151" s="948"/>
      <c r="E151" s="948"/>
      <c r="F151" s="948"/>
      <c r="G151" s="948"/>
      <c r="H151" s="948"/>
      <c r="I151" s="948"/>
      <c r="J151" s="948"/>
      <c r="K151" s="948"/>
      <c r="L151" s="948"/>
    </row>
    <row r="152" spans="3:12" s="165" customFormat="1">
      <c r="C152" s="948"/>
      <c r="D152" s="948"/>
      <c r="E152" s="948"/>
      <c r="F152" s="948"/>
      <c r="G152" s="948"/>
      <c r="H152" s="948"/>
      <c r="I152" s="948"/>
      <c r="J152" s="948"/>
      <c r="K152" s="948"/>
      <c r="L152" s="948"/>
    </row>
    <row r="153" spans="3:12" s="165" customFormat="1">
      <c r="C153" s="948"/>
      <c r="D153" s="948"/>
      <c r="E153" s="948"/>
      <c r="F153" s="948"/>
      <c r="G153" s="948"/>
      <c r="H153" s="948"/>
      <c r="I153" s="948"/>
      <c r="J153" s="948"/>
      <c r="K153" s="948"/>
      <c r="L153" s="948"/>
    </row>
    <row r="154" spans="3:12" s="165" customFormat="1">
      <c r="C154" s="948"/>
      <c r="D154" s="948"/>
      <c r="E154" s="948"/>
      <c r="F154" s="948"/>
      <c r="G154" s="948"/>
      <c r="H154" s="948"/>
      <c r="I154" s="948"/>
      <c r="J154" s="948"/>
      <c r="K154" s="948"/>
      <c r="L154" s="948"/>
    </row>
    <row r="155" spans="3:12" s="165" customFormat="1">
      <c r="C155" s="948"/>
      <c r="D155" s="948"/>
      <c r="E155" s="948"/>
      <c r="F155" s="948"/>
      <c r="G155" s="948"/>
      <c r="H155" s="948"/>
      <c r="I155" s="948"/>
      <c r="J155" s="948"/>
      <c r="K155" s="948"/>
      <c r="L155" s="948"/>
    </row>
    <row r="156" spans="3:12" s="165" customFormat="1">
      <c r="C156" s="948"/>
      <c r="D156" s="948"/>
      <c r="E156" s="948"/>
      <c r="F156" s="948"/>
      <c r="G156" s="948"/>
      <c r="H156" s="948"/>
      <c r="I156" s="948"/>
      <c r="J156" s="948"/>
      <c r="K156" s="948"/>
      <c r="L156" s="948"/>
    </row>
    <row r="157" spans="3:12" s="165" customFormat="1">
      <c r="C157" s="948"/>
      <c r="D157" s="948"/>
      <c r="E157" s="948"/>
      <c r="F157" s="948"/>
      <c r="G157" s="948"/>
      <c r="H157" s="948"/>
      <c r="I157" s="948"/>
      <c r="J157" s="948"/>
      <c r="K157" s="948"/>
      <c r="L157" s="948"/>
    </row>
    <row r="158" spans="3:12" s="165" customFormat="1">
      <c r="C158" s="948"/>
      <c r="D158" s="948"/>
      <c r="E158" s="948"/>
      <c r="F158" s="948"/>
      <c r="G158" s="948"/>
      <c r="H158" s="948"/>
      <c r="I158" s="948"/>
      <c r="J158" s="948"/>
      <c r="K158" s="948"/>
      <c r="L158" s="948"/>
    </row>
    <row r="159" spans="3:12" s="165" customFormat="1">
      <c r="C159" s="948"/>
      <c r="D159" s="948"/>
      <c r="E159" s="948"/>
      <c r="F159" s="948"/>
      <c r="G159" s="948"/>
      <c r="H159" s="948"/>
      <c r="I159" s="948"/>
      <c r="J159" s="948"/>
      <c r="K159" s="948"/>
      <c r="L159" s="948"/>
    </row>
    <row r="160" spans="3:12" s="165" customFormat="1">
      <c r="C160" s="948"/>
      <c r="D160" s="948"/>
      <c r="E160" s="948"/>
      <c r="F160" s="948"/>
      <c r="G160" s="948"/>
      <c r="H160" s="948"/>
      <c r="I160" s="948"/>
      <c r="J160" s="948"/>
      <c r="K160" s="948"/>
      <c r="L160" s="948"/>
    </row>
    <row r="161" spans="3:12" s="165" customFormat="1">
      <c r="C161" s="948"/>
      <c r="D161" s="948"/>
      <c r="E161" s="948"/>
      <c r="F161" s="948"/>
      <c r="G161" s="948"/>
      <c r="H161" s="948"/>
      <c r="I161" s="948"/>
      <c r="J161" s="948"/>
      <c r="K161" s="948"/>
      <c r="L161" s="948"/>
    </row>
    <row r="162" spans="3:12" s="165" customFormat="1">
      <c r="C162" s="948"/>
      <c r="D162" s="948"/>
      <c r="E162" s="948"/>
      <c r="F162" s="948"/>
      <c r="G162" s="948"/>
      <c r="H162" s="948"/>
      <c r="I162" s="948"/>
      <c r="J162" s="948"/>
      <c r="K162" s="948"/>
      <c r="L162" s="948"/>
    </row>
    <row r="163" spans="3:12" s="165" customFormat="1">
      <c r="C163" s="948"/>
      <c r="D163" s="948"/>
      <c r="E163" s="948"/>
      <c r="F163" s="948"/>
      <c r="G163" s="948"/>
      <c r="H163" s="948"/>
      <c r="I163" s="948"/>
      <c r="J163" s="948"/>
      <c r="K163" s="948"/>
      <c r="L163" s="948"/>
    </row>
    <row r="164" spans="3:12" s="165" customFormat="1">
      <c r="C164" s="948"/>
      <c r="D164" s="948"/>
      <c r="E164" s="948"/>
      <c r="F164" s="948"/>
      <c r="G164" s="948"/>
      <c r="H164" s="948"/>
      <c r="I164" s="948"/>
      <c r="J164" s="948"/>
      <c r="K164" s="948"/>
      <c r="L164" s="948"/>
    </row>
    <row r="165" spans="3:12" s="165" customFormat="1">
      <c r="C165" s="948"/>
      <c r="D165" s="948"/>
      <c r="E165" s="948"/>
      <c r="F165" s="948"/>
      <c r="G165" s="948"/>
      <c r="H165" s="948"/>
      <c r="I165" s="948"/>
      <c r="J165" s="948"/>
      <c r="K165" s="948"/>
      <c r="L165" s="948"/>
    </row>
    <row r="166" spans="3:12" s="165" customFormat="1">
      <c r="C166" s="948"/>
      <c r="D166" s="948"/>
      <c r="E166" s="948"/>
      <c r="F166" s="948"/>
      <c r="G166" s="948"/>
      <c r="H166" s="948"/>
      <c r="I166" s="948"/>
      <c r="J166" s="948"/>
      <c r="K166" s="948"/>
      <c r="L166" s="948"/>
    </row>
    <row r="167" spans="3:12" s="165" customFormat="1">
      <c r="C167" s="948"/>
      <c r="D167" s="948"/>
      <c r="E167" s="948"/>
      <c r="F167" s="948"/>
      <c r="G167" s="948"/>
      <c r="H167" s="948"/>
      <c r="I167" s="948"/>
      <c r="J167" s="948"/>
      <c r="K167" s="948"/>
      <c r="L167" s="948"/>
    </row>
    <row r="168" spans="3:12" s="165" customFormat="1">
      <c r="C168" s="948"/>
      <c r="D168" s="948"/>
      <c r="E168" s="948"/>
      <c r="F168" s="948"/>
      <c r="G168" s="948"/>
      <c r="H168" s="948"/>
      <c r="I168" s="948"/>
      <c r="J168" s="948"/>
      <c r="K168" s="948"/>
      <c r="L168" s="948"/>
    </row>
    <row r="169" spans="3:12" s="165" customFormat="1">
      <c r="C169" s="948"/>
      <c r="D169" s="948"/>
      <c r="E169" s="948"/>
      <c r="F169" s="948"/>
      <c r="G169" s="948"/>
      <c r="H169" s="948"/>
      <c r="I169" s="948"/>
      <c r="J169" s="948"/>
      <c r="K169" s="948"/>
      <c r="L169" s="948"/>
    </row>
    <row r="170" spans="3:12" s="165" customFormat="1">
      <c r="C170" s="948"/>
      <c r="D170" s="948"/>
      <c r="E170" s="948"/>
      <c r="F170" s="948"/>
      <c r="G170" s="948"/>
      <c r="H170" s="948"/>
      <c r="I170" s="948"/>
      <c r="J170" s="948"/>
      <c r="K170" s="948"/>
      <c r="L170" s="948"/>
    </row>
    <row r="171" spans="3:12" s="165" customFormat="1">
      <c r="C171" s="948"/>
      <c r="D171" s="948"/>
      <c r="E171" s="948"/>
      <c r="F171" s="948"/>
      <c r="G171" s="948"/>
      <c r="H171" s="948"/>
      <c r="I171" s="948"/>
      <c r="J171" s="948"/>
      <c r="K171" s="948"/>
      <c r="L171" s="948"/>
    </row>
    <row r="172" spans="3:12" s="165" customFormat="1">
      <c r="C172" s="948"/>
      <c r="D172" s="948"/>
      <c r="E172" s="948"/>
      <c r="F172" s="948"/>
      <c r="G172" s="948"/>
      <c r="H172" s="948"/>
      <c r="I172" s="948"/>
      <c r="J172" s="948"/>
      <c r="K172" s="948"/>
      <c r="L172" s="948"/>
    </row>
    <row r="173" spans="3:12" s="165" customFormat="1">
      <c r="C173" s="948"/>
      <c r="D173" s="948"/>
      <c r="E173" s="948"/>
      <c r="F173" s="948"/>
      <c r="G173" s="948"/>
      <c r="H173" s="948"/>
      <c r="I173" s="948"/>
      <c r="J173" s="948"/>
      <c r="K173" s="948"/>
      <c r="L173" s="948"/>
    </row>
    <row r="174" spans="3:12" s="165" customFormat="1">
      <c r="C174" s="948"/>
      <c r="D174" s="948"/>
      <c r="E174" s="948"/>
      <c r="F174" s="948"/>
      <c r="G174" s="948"/>
      <c r="H174" s="948"/>
      <c r="I174" s="948"/>
      <c r="J174" s="948"/>
      <c r="K174" s="948"/>
      <c r="L174" s="948"/>
    </row>
    <row r="175" spans="3:12" s="165" customFormat="1">
      <c r="C175" s="948"/>
      <c r="D175" s="948"/>
      <c r="E175" s="948"/>
      <c r="F175" s="948"/>
      <c r="G175" s="948"/>
      <c r="H175" s="948"/>
      <c r="I175" s="948"/>
      <c r="J175" s="948"/>
      <c r="K175" s="948"/>
      <c r="L175" s="948"/>
    </row>
    <row r="176" spans="3:12" s="165" customFormat="1">
      <c r="C176" s="948"/>
      <c r="D176" s="948"/>
      <c r="E176" s="948"/>
      <c r="F176" s="948"/>
      <c r="G176" s="948"/>
      <c r="H176" s="948"/>
      <c r="I176" s="948"/>
      <c r="J176" s="948"/>
      <c r="K176" s="948"/>
      <c r="L176" s="948"/>
    </row>
    <row r="177" spans="3:12" s="165" customFormat="1">
      <c r="C177" s="948"/>
      <c r="D177" s="948"/>
      <c r="E177" s="948"/>
      <c r="F177" s="948"/>
      <c r="G177" s="948"/>
      <c r="H177" s="948"/>
      <c r="I177" s="948"/>
      <c r="J177" s="948"/>
      <c r="K177" s="948"/>
      <c r="L177" s="948"/>
    </row>
    <row r="178" spans="3:12" s="165" customFormat="1">
      <c r="C178" s="948"/>
      <c r="D178" s="948"/>
      <c r="E178" s="948"/>
      <c r="F178" s="948"/>
      <c r="G178" s="948"/>
      <c r="H178" s="948"/>
      <c r="I178" s="948"/>
      <c r="J178" s="948"/>
      <c r="K178" s="948"/>
      <c r="L178" s="948"/>
    </row>
    <row r="179" spans="3:12" s="165" customFormat="1">
      <c r="C179" s="948"/>
      <c r="D179" s="948"/>
      <c r="E179" s="948"/>
      <c r="F179" s="948"/>
      <c r="G179" s="948"/>
      <c r="H179" s="948"/>
      <c r="I179" s="948"/>
      <c r="J179" s="948"/>
      <c r="K179" s="948"/>
      <c r="L179" s="948"/>
    </row>
    <row r="180" spans="3:12" s="165" customFormat="1">
      <c r="C180" s="948"/>
      <c r="D180" s="948"/>
      <c r="E180" s="948"/>
      <c r="F180" s="948"/>
      <c r="G180" s="948"/>
      <c r="H180" s="948"/>
      <c r="I180" s="948"/>
      <c r="J180" s="948"/>
      <c r="K180" s="948"/>
      <c r="L180" s="948"/>
    </row>
    <row r="181" spans="3:12" s="165" customFormat="1">
      <c r="C181" s="948"/>
      <c r="D181" s="948"/>
      <c r="E181" s="948"/>
      <c r="F181" s="948"/>
      <c r="G181" s="948"/>
      <c r="H181" s="948"/>
      <c r="I181" s="948"/>
      <c r="J181" s="948"/>
      <c r="K181" s="948"/>
      <c r="L181" s="948"/>
    </row>
    <row r="182" spans="3:12" s="165" customFormat="1">
      <c r="C182" s="948"/>
      <c r="D182" s="948"/>
      <c r="E182" s="948"/>
      <c r="F182" s="948"/>
      <c r="G182" s="948"/>
      <c r="H182" s="948"/>
      <c r="I182" s="948"/>
      <c r="J182" s="948"/>
      <c r="K182" s="948"/>
      <c r="L182" s="948"/>
    </row>
    <row r="183" spans="3:12" s="165" customFormat="1">
      <c r="C183" s="948"/>
      <c r="D183" s="948"/>
      <c r="E183" s="948"/>
      <c r="F183" s="948"/>
      <c r="G183" s="948"/>
      <c r="H183" s="948"/>
      <c r="I183" s="948"/>
      <c r="J183" s="948"/>
      <c r="K183" s="948"/>
      <c r="L183" s="948"/>
    </row>
    <row r="184" spans="3:12" s="165" customFormat="1">
      <c r="C184" s="948"/>
      <c r="D184" s="948"/>
      <c r="E184" s="948"/>
      <c r="F184" s="948"/>
      <c r="G184" s="948"/>
      <c r="H184" s="948"/>
      <c r="I184" s="948"/>
      <c r="J184" s="948"/>
      <c r="K184" s="948"/>
      <c r="L184" s="948"/>
    </row>
    <row r="185" spans="3:12" s="165" customFormat="1">
      <c r="C185" s="948"/>
      <c r="D185" s="948"/>
      <c r="E185" s="948"/>
      <c r="F185" s="948"/>
      <c r="G185" s="948"/>
      <c r="H185" s="948"/>
      <c r="I185" s="948"/>
      <c r="J185" s="948"/>
      <c r="K185" s="948"/>
      <c r="L185" s="948"/>
    </row>
    <row r="186" spans="3:12" s="165" customFormat="1">
      <c r="C186" s="948"/>
      <c r="D186" s="948"/>
      <c r="E186" s="948"/>
      <c r="F186" s="948"/>
      <c r="G186" s="948"/>
      <c r="H186" s="948"/>
      <c r="I186" s="948"/>
      <c r="J186" s="948"/>
      <c r="K186" s="948"/>
      <c r="L186" s="948"/>
    </row>
    <row r="187" spans="3:12" s="165" customFormat="1">
      <c r="C187" s="948"/>
      <c r="D187" s="948"/>
      <c r="E187" s="948"/>
      <c r="F187" s="948"/>
      <c r="G187" s="948"/>
      <c r="H187" s="948"/>
      <c r="I187" s="948"/>
      <c r="J187" s="948"/>
      <c r="K187" s="948"/>
      <c r="L187" s="948"/>
    </row>
    <row r="188" spans="3:12" s="165" customFormat="1">
      <c r="C188" s="948"/>
      <c r="D188" s="948"/>
      <c r="E188" s="948"/>
      <c r="F188" s="948"/>
      <c r="G188" s="948"/>
      <c r="H188" s="948"/>
      <c r="I188" s="948"/>
      <c r="J188" s="948"/>
      <c r="K188" s="948"/>
      <c r="L188" s="948"/>
    </row>
    <row r="189" spans="3:12" s="165" customFormat="1">
      <c r="C189" s="948"/>
      <c r="D189" s="948"/>
      <c r="E189" s="948"/>
      <c r="F189" s="948"/>
      <c r="G189" s="948"/>
      <c r="H189" s="948"/>
      <c r="I189" s="948"/>
      <c r="J189" s="948"/>
      <c r="K189" s="948"/>
      <c r="L189" s="948"/>
    </row>
    <row r="190" spans="3:12" s="165" customFormat="1">
      <c r="C190" s="948"/>
      <c r="D190" s="948"/>
      <c r="E190" s="948"/>
      <c r="F190" s="948"/>
      <c r="G190" s="948"/>
      <c r="H190" s="948"/>
      <c r="I190" s="948"/>
      <c r="J190" s="948"/>
      <c r="K190" s="948"/>
      <c r="L190" s="948"/>
    </row>
    <row r="191" spans="3:12" s="165" customFormat="1">
      <c r="C191" s="948"/>
      <c r="D191" s="948"/>
      <c r="E191" s="948"/>
      <c r="F191" s="948"/>
      <c r="G191" s="948"/>
      <c r="H191" s="948"/>
      <c r="I191" s="948"/>
      <c r="J191" s="948"/>
      <c r="K191" s="948"/>
      <c r="L191" s="948"/>
    </row>
    <row r="192" spans="3:12" s="165" customFormat="1">
      <c r="C192" s="948"/>
      <c r="D192" s="948"/>
      <c r="E192" s="948"/>
      <c r="F192" s="948"/>
      <c r="G192" s="948"/>
      <c r="H192" s="948"/>
      <c r="I192" s="948"/>
      <c r="J192" s="948"/>
      <c r="K192" s="948"/>
      <c r="L192" s="948"/>
    </row>
    <row r="193" spans="3:12" s="165" customFormat="1">
      <c r="C193" s="948"/>
      <c r="D193" s="948"/>
      <c r="E193" s="948"/>
      <c r="F193" s="948"/>
      <c r="G193" s="948"/>
      <c r="H193" s="948"/>
      <c r="I193" s="948"/>
      <c r="J193" s="948"/>
      <c r="K193" s="948"/>
      <c r="L193" s="948"/>
    </row>
    <row r="194" spans="3:12" s="165" customFormat="1">
      <c r="C194" s="948"/>
      <c r="D194" s="948"/>
      <c r="E194" s="948"/>
      <c r="F194" s="948"/>
      <c r="G194" s="948"/>
      <c r="H194" s="948"/>
      <c r="I194" s="948"/>
      <c r="J194" s="948"/>
      <c r="K194" s="948"/>
      <c r="L194" s="948"/>
    </row>
    <row r="195" spans="3:12" s="165" customFormat="1">
      <c r="C195" s="945"/>
      <c r="D195" s="945"/>
      <c r="E195" s="945"/>
      <c r="F195" s="945"/>
      <c r="G195" s="945"/>
      <c r="H195" s="945"/>
      <c r="I195" s="945"/>
      <c r="J195" s="945"/>
      <c r="K195" s="945"/>
      <c r="L195" s="945"/>
    </row>
    <row r="196" spans="3:12" s="165" customFormat="1">
      <c r="C196" s="945"/>
      <c r="D196" s="945"/>
      <c r="E196" s="945"/>
      <c r="F196" s="945"/>
      <c r="G196" s="945"/>
      <c r="H196" s="945"/>
      <c r="I196" s="945"/>
      <c r="J196" s="945"/>
      <c r="K196" s="945"/>
      <c r="L196" s="945"/>
    </row>
    <row r="197" spans="3:12" s="165" customFormat="1">
      <c r="C197" s="945"/>
      <c r="D197" s="945"/>
      <c r="E197" s="945"/>
      <c r="F197" s="945"/>
      <c r="G197" s="945"/>
      <c r="H197" s="945"/>
      <c r="I197" s="945"/>
      <c r="J197" s="945"/>
      <c r="K197" s="945"/>
      <c r="L197" s="945"/>
    </row>
    <row r="198" spans="3:12" s="165" customFormat="1">
      <c r="C198" s="945"/>
      <c r="D198" s="945"/>
      <c r="E198" s="945"/>
      <c r="F198" s="945"/>
      <c r="G198" s="945"/>
      <c r="H198" s="945"/>
      <c r="I198" s="945"/>
      <c r="J198" s="945"/>
      <c r="K198" s="945"/>
      <c r="L198" s="945"/>
    </row>
    <row r="199" spans="3:12" s="165" customFormat="1">
      <c r="C199" s="945"/>
      <c r="D199" s="945"/>
      <c r="E199" s="945"/>
      <c r="F199" s="945"/>
      <c r="G199" s="945"/>
      <c r="H199" s="945"/>
      <c r="I199" s="945"/>
      <c r="J199" s="945"/>
      <c r="K199" s="945"/>
      <c r="L199" s="945"/>
    </row>
    <row r="200" spans="3:12" s="165" customFormat="1">
      <c r="C200" s="945"/>
      <c r="D200" s="945"/>
      <c r="E200" s="945"/>
      <c r="F200" s="945"/>
      <c r="G200" s="945"/>
      <c r="H200" s="945"/>
      <c r="I200" s="945"/>
      <c r="J200" s="945"/>
      <c r="K200" s="945"/>
      <c r="L200" s="945"/>
    </row>
    <row r="201" spans="3:12" s="165" customFormat="1">
      <c r="C201" s="945"/>
      <c r="D201" s="945"/>
      <c r="E201" s="945"/>
      <c r="F201" s="945"/>
      <c r="G201" s="945"/>
      <c r="H201" s="945"/>
      <c r="I201" s="945"/>
      <c r="J201" s="945"/>
      <c r="K201" s="945"/>
      <c r="L201" s="945"/>
    </row>
    <row r="202" spans="3:12" s="165" customFormat="1">
      <c r="C202" s="945"/>
      <c r="D202" s="945"/>
      <c r="E202" s="945"/>
      <c r="F202" s="945"/>
      <c r="G202" s="945"/>
      <c r="H202" s="945"/>
      <c r="I202" s="945"/>
      <c r="J202" s="945"/>
      <c r="K202" s="945"/>
      <c r="L202" s="945"/>
    </row>
    <row r="203" spans="3:12" s="165" customFormat="1">
      <c r="C203" s="945"/>
      <c r="D203" s="945"/>
      <c r="E203" s="945"/>
      <c r="F203" s="945"/>
      <c r="G203" s="945"/>
      <c r="H203" s="945"/>
      <c r="I203" s="945"/>
      <c r="J203" s="945"/>
      <c r="K203" s="945"/>
      <c r="L203" s="945"/>
    </row>
    <row r="204" spans="3:12" s="165" customFormat="1">
      <c r="C204" s="945"/>
      <c r="D204" s="945"/>
      <c r="E204" s="945"/>
      <c r="F204" s="945"/>
      <c r="G204" s="945"/>
      <c r="H204" s="945"/>
      <c r="I204" s="945"/>
      <c r="J204" s="945"/>
      <c r="K204" s="945"/>
      <c r="L204" s="945"/>
    </row>
    <row r="205" spans="3:12" s="165" customFormat="1">
      <c r="C205" s="945"/>
      <c r="D205" s="945"/>
      <c r="E205" s="945"/>
      <c r="F205" s="945"/>
      <c r="G205" s="945"/>
      <c r="H205" s="945"/>
      <c r="I205" s="945"/>
      <c r="J205" s="945"/>
      <c r="K205" s="945"/>
      <c r="L205" s="945"/>
    </row>
    <row r="206" spans="3:12" s="165" customFormat="1">
      <c r="C206" s="945"/>
      <c r="D206" s="945"/>
      <c r="E206" s="945"/>
      <c r="F206" s="945"/>
      <c r="G206" s="945"/>
      <c r="H206" s="945"/>
      <c r="I206" s="945"/>
      <c r="J206" s="945"/>
      <c r="K206" s="945"/>
      <c r="L206" s="945"/>
    </row>
    <row r="207" spans="3:12" s="165" customFormat="1">
      <c r="C207" s="945"/>
      <c r="D207" s="945"/>
      <c r="E207" s="945"/>
      <c r="F207" s="945"/>
      <c r="G207" s="945"/>
      <c r="H207" s="945"/>
      <c r="I207" s="945"/>
      <c r="J207" s="945"/>
      <c r="K207" s="945"/>
      <c r="L207" s="945"/>
    </row>
    <row r="208" spans="3:12" s="165" customFormat="1">
      <c r="C208" s="945"/>
      <c r="D208" s="945"/>
      <c r="E208" s="945"/>
      <c r="F208" s="945"/>
      <c r="G208" s="945"/>
      <c r="H208" s="945"/>
      <c r="I208" s="945"/>
      <c r="J208" s="945"/>
      <c r="K208" s="945"/>
      <c r="L208" s="945"/>
    </row>
    <row r="209" spans="3:12" s="165" customFormat="1">
      <c r="C209" s="945"/>
      <c r="D209" s="945"/>
      <c r="E209" s="945"/>
      <c r="F209" s="945"/>
      <c r="G209" s="945"/>
      <c r="H209" s="945"/>
      <c r="I209" s="945"/>
      <c r="J209" s="945"/>
      <c r="K209" s="945"/>
      <c r="L209" s="945"/>
    </row>
    <row r="210" spans="3:12" s="165" customFormat="1">
      <c r="C210" s="945"/>
      <c r="D210" s="945"/>
      <c r="E210" s="945"/>
      <c r="F210" s="945"/>
      <c r="G210" s="945"/>
      <c r="H210" s="945"/>
      <c r="I210" s="945"/>
      <c r="J210" s="945"/>
      <c r="K210" s="945"/>
      <c r="L210" s="945"/>
    </row>
    <row r="211" spans="3:12" s="165" customFormat="1">
      <c r="C211" s="945"/>
      <c r="D211" s="945"/>
      <c r="E211" s="945"/>
      <c r="F211" s="945"/>
      <c r="G211" s="945"/>
      <c r="H211" s="945"/>
      <c r="I211" s="945"/>
      <c r="J211" s="945"/>
      <c r="K211" s="945"/>
      <c r="L211" s="945"/>
    </row>
    <row r="212" spans="3:12" s="165" customFormat="1">
      <c r="C212" s="945"/>
      <c r="D212" s="945"/>
      <c r="E212" s="945"/>
      <c r="F212" s="945"/>
      <c r="G212" s="945"/>
      <c r="H212" s="945"/>
      <c r="I212" s="945"/>
      <c r="J212" s="945"/>
      <c r="K212" s="945"/>
      <c r="L212" s="945"/>
    </row>
    <row r="213" spans="3:12" s="165" customFormat="1">
      <c r="C213" s="945"/>
      <c r="D213" s="945"/>
      <c r="E213" s="945"/>
      <c r="F213" s="945"/>
      <c r="G213" s="945"/>
      <c r="H213" s="945"/>
      <c r="I213" s="945"/>
      <c r="J213" s="945"/>
      <c r="K213" s="945"/>
      <c r="L213" s="945"/>
    </row>
    <row r="214" spans="3:12" s="165" customFormat="1">
      <c r="C214" s="945"/>
      <c r="D214" s="945"/>
      <c r="E214" s="945"/>
      <c r="F214" s="945"/>
      <c r="G214" s="945"/>
      <c r="H214" s="945"/>
      <c r="I214" s="945"/>
      <c r="J214" s="945"/>
      <c r="K214" s="945"/>
      <c r="L214" s="945"/>
    </row>
    <row r="215" spans="3:12" s="165" customFormat="1">
      <c r="C215" s="945"/>
      <c r="D215" s="945"/>
      <c r="E215" s="945"/>
      <c r="F215" s="945"/>
      <c r="G215" s="945"/>
      <c r="H215" s="945"/>
      <c r="I215" s="945"/>
      <c r="J215" s="945"/>
      <c r="K215" s="945"/>
      <c r="L215" s="945"/>
    </row>
    <row r="216" spans="3:12" s="165" customFormat="1">
      <c r="C216" s="945"/>
      <c r="D216" s="945"/>
      <c r="E216" s="945"/>
      <c r="F216" s="945"/>
      <c r="G216" s="945"/>
      <c r="H216" s="945"/>
      <c r="I216" s="945"/>
      <c r="J216" s="945"/>
      <c r="K216" s="945"/>
      <c r="L216" s="945"/>
    </row>
    <row r="217" spans="3:12" s="165" customFormat="1">
      <c r="C217" s="945"/>
      <c r="D217" s="945"/>
      <c r="E217" s="945"/>
      <c r="F217" s="945"/>
      <c r="G217" s="945"/>
      <c r="H217" s="945"/>
      <c r="I217" s="945"/>
      <c r="J217" s="945"/>
      <c r="K217" s="945"/>
      <c r="L217" s="945"/>
    </row>
    <row r="218" spans="3:12" s="165" customFormat="1">
      <c r="C218" s="945"/>
      <c r="D218" s="945"/>
      <c r="E218" s="945"/>
      <c r="F218" s="945"/>
      <c r="G218" s="945"/>
      <c r="H218" s="945"/>
      <c r="I218" s="945"/>
      <c r="J218" s="945"/>
      <c r="K218" s="945"/>
      <c r="L218" s="945"/>
    </row>
    <row r="219" spans="3:12" s="165" customFormat="1">
      <c r="C219" s="945"/>
      <c r="D219" s="945"/>
      <c r="E219" s="945"/>
      <c r="F219" s="945"/>
      <c r="G219" s="945"/>
      <c r="H219" s="945"/>
      <c r="I219" s="945"/>
      <c r="J219" s="945"/>
      <c r="K219" s="945"/>
      <c r="L219" s="945"/>
    </row>
    <row r="220" spans="3:12" s="165" customFormat="1">
      <c r="C220" s="945"/>
      <c r="D220" s="945"/>
      <c r="E220" s="945"/>
      <c r="F220" s="945"/>
      <c r="G220" s="945"/>
      <c r="H220" s="945"/>
      <c r="I220" s="945"/>
      <c r="J220" s="945"/>
      <c r="K220" s="945"/>
      <c r="L220" s="945"/>
    </row>
    <row r="221" spans="3:12" s="165" customFormat="1">
      <c r="C221" s="945"/>
      <c r="D221" s="945"/>
      <c r="E221" s="945"/>
      <c r="F221" s="945"/>
      <c r="G221" s="945"/>
      <c r="H221" s="945"/>
      <c r="I221" s="945"/>
      <c r="J221" s="945"/>
      <c r="K221" s="945"/>
      <c r="L221" s="945"/>
    </row>
    <row r="222" spans="3:12" s="165" customFormat="1">
      <c r="C222" s="945"/>
      <c r="D222" s="945"/>
      <c r="E222" s="945"/>
      <c r="F222" s="945"/>
      <c r="G222" s="945"/>
      <c r="H222" s="945"/>
      <c r="I222" s="945"/>
      <c r="J222" s="945"/>
      <c r="K222" s="945"/>
      <c r="L222" s="945"/>
    </row>
    <row r="223" spans="3:12" s="165" customFormat="1">
      <c r="C223" s="945"/>
      <c r="D223" s="945"/>
      <c r="E223" s="945"/>
      <c r="F223" s="945"/>
      <c r="G223" s="945"/>
      <c r="H223" s="945"/>
      <c r="I223" s="945"/>
      <c r="J223" s="945"/>
      <c r="K223" s="945"/>
      <c r="L223" s="945"/>
    </row>
    <row r="224" spans="3:12" s="165" customFormat="1">
      <c r="C224" s="945"/>
      <c r="D224" s="945"/>
      <c r="E224" s="945"/>
      <c r="F224" s="945"/>
      <c r="G224" s="945"/>
      <c r="H224" s="945"/>
      <c r="I224" s="945"/>
      <c r="J224" s="945"/>
      <c r="K224" s="945"/>
      <c r="L224" s="945"/>
    </row>
    <row r="225" spans="3:12" s="165" customFormat="1">
      <c r="C225" s="945"/>
      <c r="D225" s="945"/>
      <c r="E225" s="945"/>
      <c r="F225" s="945"/>
      <c r="G225" s="945"/>
      <c r="H225" s="945"/>
      <c r="I225" s="945"/>
      <c r="J225" s="945"/>
      <c r="K225" s="945"/>
      <c r="L225" s="945"/>
    </row>
    <row r="226" spans="3:12" s="165" customFormat="1">
      <c r="C226" s="945"/>
      <c r="D226" s="945"/>
      <c r="E226" s="945"/>
      <c r="F226" s="945"/>
      <c r="G226" s="945"/>
      <c r="H226" s="945"/>
      <c r="I226" s="945"/>
      <c r="J226" s="945"/>
      <c r="K226" s="945"/>
      <c r="L226" s="945"/>
    </row>
    <row r="227" spans="3:12" s="165" customFormat="1">
      <c r="C227" s="945"/>
      <c r="D227" s="945"/>
      <c r="E227" s="945"/>
      <c r="F227" s="945"/>
      <c r="G227" s="945"/>
      <c r="H227" s="945"/>
      <c r="I227" s="945"/>
      <c r="J227" s="945"/>
      <c r="K227" s="945"/>
      <c r="L227" s="945"/>
    </row>
    <row r="228" spans="3:12" s="165" customFormat="1">
      <c r="C228" s="945"/>
      <c r="D228" s="945"/>
      <c r="E228" s="945"/>
      <c r="F228" s="945"/>
      <c r="G228" s="945"/>
      <c r="H228" s="945"/>
      <c r="I228" s="945"/>
      <c r="J228" s="945"/>
      <c r="K228" s="945"/>
      <c r="L228" s="945"/>
    </row>
    <row r="229" spans="3:12" s="165" customFormat="1">
      <c r="C229" s="945"/>
      <c r="D229" s="945"/>
      <c r="E229" s="945"/>
      <c r="F229" s="945"/>
      <c r="G229" s="945"/>
      <c r="H229" s="945"/>
      <c r="I229" s="945"/>
      <c r="J229" s="945"/>
      <c r="K229" s="945"/>
      <c r="L229" s="945"/>
    </row>
    <row r="230" spans="3:12" s="165" customFormat="1">
      <c r="C230" s="945"/>
      <c r="D230" s="945"/>
      <c r="E230" s="945"/>
      <c r="F230" s="945"/>
      <c r="G230" s="945"/>
      <c r="H230" s="945"/>
      <c r="I230" s="945"/>
      <c r="J230" s="945"/>
      <c r="K230" s="945"/>
      <c r="L230" s="945"/>
    </row>
    <row r="231" spans="3:12" s="165" customFormat="1">
      <c r="C231" s="945"/>
      <c r="D231" s="945"/>
      <c r="E231" s="945"/>
      <c r="F231" s="945"/>
      <c r="G231" s="945"/>
      <c r="H231" s="945"/>
      <c r="I231" s="945"/>
      <c r="J231" s="945"/>
      <c r="K231" s="945"/>
      <c r="L231" s="945"/>
    </row>
    <row r="232" spans="3:12" s="165" customFormat="1">
      <c r="C232" s="945"/>
      <c r="D232" s="945"/>
      <c r="E232" s="945"/>
      <c r="F232" s="945"/>
      <c r="G232" s="945"/>
      <c r="H232" s="945"/>
      <c r="I232" s="945"/>
      <c r="J232" s="945"/>
      <c r="K232" s="945"/>
      <c r="L232" s="945"/>
    </row>
    <row r="233" spans="3:12" s="165" customFormat="1">
      <c r="C233" s="945"/>
      <c r="D233" s="945"/>
      <c r="E233" s="945"/>
      <c r="F233" s="945"/>
      <c r="G233" s="945"/>
      <c r="H233" s="945"/>
      <c r="I233" s="945"/>
      <c r="J233" s="945"/>
      <c r="K233" s="945"/>
      <c r="L233" s="945"/>
    </row>
    <row r="234" spans="3:12" s="165" customFormat="1">
      <c r="C234" s="945"/>
      <c r="D234" s="945"/>
      <c r="E234" s="945"/>
      <c r="F234" s="945"/>
      <c r="G234" s="945"/>
      <c r="H234" s="945"/>
      <c r="I234" s="945"/>
      <c r="J234" s="945"/>
      <c r="K234" s="945"/>
      <c r="L234" s="945"/>
    </row>
    <row r="235" spans="3:12" s="165" customFormat="1">
      <c r="C235" s="945"/>
      <c r="D235" s="945"/>
      <c r="E235" s="945"/>
      <c r="F235" s="945"/>
      <c r="G235" s="945"/>
      <c r="H235" s="945"/>
      <c r="I235" s="945"/>
      <c r="J235" s="945"/>
      <c r="K235" s="945"/>
      <c r="L235" s="945"/>
    </row>
    <row r="236" spans="3:12" s="165" customFormat="1">
      <c r="C236" s="945"/>
      <c r="D236" s="945"/>
      <c r="E236" s="945"/>
      <c r="F236" s="945"/>
      <c r="G236" s="945"/>
      <c r="H236" s="945"/>
      <c r="I236" s="945"/>
      <c r="J236" s="945"/>
      <c r="K236" s="945"/>
      <c r="L236" s="945"/>
    </row>
    <row r="237" spans="3:12" s="165" customFormat="1">
      <c r="C237" s="945"/>
      <c r="D237" s="945"/>
      <c r="E237" s="945"/>
      <c r="F237" s="945"/>
      <c r="G237" s="945"/>
      <c r="H237" s="945"/>
      <c r="I237" s="945"/>
      <c r="J237" s="945"/>
      <c r="K237" s="945"/>
      <c r="L237" s="945"/>
    </row>
    <row r="238" spans="3:12" s="165" customFormat="1">
      <c r="C238" s="945"/>
      <c r="D238" s="945"/>
      <c r="E238" s="945"/>
      <c r="F238" s="945"/>
      <c r="G238" s="945"/>
      <c r="H238" s="945"/>
      <c r="I238" s="945"/>
      <c r="J238" s="945"/>
      <c r="K238" s="945"/>
      <c r="L238" s="945"/>
    </row>
    <row r="239" spans="3:12" s="165" customFormat="1">
      <c r="C239" s="945"/>
      <c r="D239" s="945"/>
      <c r="E239" s="945"/>
      <c r="F239" s="945"/>
      <c r="G239" s="945"/>
      <c r="H239" s="945"/>
      <c r="I239" s="945"/>
      <c r="J239" s="945"/>
      <c r="K239" s="945"/>
      <c r="L239" s="945"/>
    </row>
    <row r="240" spans="3:12" s="165" customFormat="1">
      <c r="C240" s="945"/>
      <c r="D240" s="945"/>
      <c r="E240" s="945"/>
      <c r="F240" s="945"/>
      <c r="G240" s="945"/>
      <c r="H240" s="945"/>
      <c r="I240" s="945"/>
      <c r="J240" s="945"/>
      <c r="K240" s="945"/>
      <c r="L240" s="945"/>
    </row>
    <row r="241" s="165" customFormat="1"/>
    <row r="242" s="165" customFormat="1"/>
    <row r="243" s="165" customFormat="1"/>
    <row r="244" s="165" customFormat="1"/>
    <row r="245" s="165" customFormat="1"/>
    <row r="246" s="165" customFormat="1"/>
    <row r="247" s="165" customFormat="1"/>
    <row r="248" s="165" customFormat="1"/>
    <row r="249" s="165" customFormat="1"/>
    <row r="250" s="165" customFormat="1"/>
    <row r="251" s="165" customFormat="1"/>
    <row r="252" s="165" customFormat="1"/>
    <row r="253" s="165" customFormat="1"/>
    <row r="254" s="165" customFormat="1"/>
    <row r="255" s="165" customFormat="1"/>
    <row r="256" s="165" customFormat="1"/>
    <row r="257" s="165" customFormat="1"/>
    <row r="258" s="165" customFormat="1"/>
    <row r="259" s="165" customFormat="1"/>
    <row r="260" s="165" customFormat="1"/>
    <row r="261" s="165" customFormat="1"/>
    <row r="262" s="165" customFormat="1"/>
    <row r="263" s="165" customFormat="1"/>
    <row r="264" s="165" customFormat="1"/>
    <row r="265" s="165" customFormat="1"/>
    <row r="266" s="165" customFormat="1"/>
    <row r="267" s="165" customFormat="1"/>
    <row r="268" s="165" customFormat="1"/>
    <row r="269" s="165" customFormat="1"/>
    <row r="270" s="165" customFormat="1"/>
    <row r="271" s="165" customFormat="1"/>
    <row r="272"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sheetData>
  <mergeCells count="3">
    <mergeCell ref="H2:L2"/>
    <mergeCell ref="C2:G2"/>
    <mergeCell ref="M2:Q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ignoredErrors>
    <ignoredError sqref="Q8"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7" ma:contentTypeDescription="Utwórz nowy dokument." ma:contentTypeScope="" ma:versionID="4b53a1c1e4f02b0418de0625007236d0">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0806db53447c3b03e7b740663571cf1"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Props1.xml><?xml version="1.0" encoding="utf-8"?>
<ds:datastoreItem xmlns:ds="http://schemas.openxmlformats.org/officeDocument/2006/customXml" ds:itemID="{B4A0EDFC-66B4-4DD3-90FC-E5B830D2B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3.xml><?xml version="1.0" encoding="utf-8"?>
<ds:datastoreItem xmlns:ds="http://schemas.openxmlformats.org/officeDocument/2006/customXml" ds:itemID="{22440E72-627B-49BD-8136-CEF9ECB5C2F6}">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380674f5-ae6e-4398-ae1a-e3b039baab99"/>
    <ds:schemaRef ds:uri="44ef9d45-7c5b-433e-98b2-0b7979b96ef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Elżbieta Gieniusz</cp:lastModifiedBy>
  <cp:revision/>
  <dcterms:created xsi:type="dcterms:W3CDTF">2008-08-25T12:12:22Z</dcterms:created>
  <dcterms:modified xsi:type="dcterms:W3CDTF">2024-08-21T12:46:16Z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